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536" windowHeight="7968" activeTab="0"/>
  </bookViews>
  <sheets>
    <sheet name="Simulateur en ligne CAESE 0719" sheetId="1" r:id="rId1"/>
    <sheet name="Feuil1" sheetId="2" r:id="rId2"/>
  </sheets>
  <definedNames>
    <definedName name="_xlnm.Print_Area" localSheetId="0">'Simulateur en ligne CAESE 0719'!$A$2:$K$66</definedName>
  </definedNames>
  <calcPr fullCalcOnLoad="1"/>
</workbook>
</file>

<file path=xl/sharedStrings.xml><?xml version="1.0" encoding="utf-8"?>
<sst xmlns="http://schemas.openxmlformats.org/spreadsheetml/2006/main" count="68" uniqueCount="57">
  <si>
    <t>Mini</t>
  </si>
  <si>
    <t>Maxi</t>
  </si>
  <si>
    <t>Résidents Hors CAESE</t>
  </si>
  <si>
    <t>Taux d'effort selon composition familiale</t>
  </si>
  <si>
    <t>2 enfants</t>
  </si>
  <si>
    <t>3 enfants</t>
  </si>
  <si>
    <t>4 enfants</t>
  </si>
  <si>
    <t>5 enfants</t>
  </si>
  <si>
    <t>6 enfants</t>
  </si>
  <si>
    <t>7 enfants</t>
  </si>
  <si>
    <t>8 enfants</t>
  </si>
  <si>
    <t>9 enfants</t>
  </si>
  <si>
    <t>10 enfants et plus</t>
  </si>
  <si>
    <t xml:space="preserve">TARIFS 
des PRESTATIONS ENFANCE </t>
  </si>
  <si>
    <r>
      <rPr>
        <b/>
        <sz val="9"/>
        <color indexed="8"/>
        <rFont val="Arial"/>
        <family val="2"/>
      </rPr>
      <t>ALSH</t>
    </r>
    <r>
      <rPr>
        <sz val="9"/>
        <color indexed="8"/>
        <rFont val="Arial"/>
        <family val="2"/>
      </rPr>
      <t xml:space="preserve"> 
journée entière
(12h00)</t>
    </r>
  </si>
  <si>
    <r>
      <rPr>
        <b/>
        <sz val="9"/>
        <color indexed="8"/>
        <rFont val="Arial"/>
        <family val="2"/>
      </rPr>
      <t>ALSH</t>
    </r>
    <r>
      <rPr>
        <sz val="9"/>
        <color indexed="8"/>
        <rFont val="Arial"/>
        <family val="2"/>
      </rPr>
      <t xml:space="preserve"> 
journée entière
(12h45 à Angerville)</t>
    </r>
  </si>
  <si>
    <r>
      <rPr>
        <b/>
        <sz val="9"/>
        <color indexed="8"/>
        <rFont val="Arial"/>
        <family val="2"/>
      </rPr>
      <t>PERISCOLAIRE</t>
    </r>
    <r>
      <rPr>
        <sz val="9"/>
        <color indexed="8"/>
        <rFont val="Arial"/>
        <family val="2"/>
      </rPr>
      <t xml:space="preserve"> 
du matin</t>
    </r>
  </si>
  <si>
    <r>
      <rPr>
        <b/>
        <sz val="9"/>
        <color indexed="8"/>
        <rFont val="Arial"/>
        <family val="2"/>
      </rPr>
      <t>PERISCOLAIRE</t>
    </r>
    <r>
      <rPr>
        <sz val="9"/>
        <color indexed="8"/>
        <rFont val="Arial"/>
        <family val="2"/>
      </rPr>
      <t xml:space="preserve"> 
du soir</t>
    </r>
  </si>
  <si>
    <r>
      <rPr>
        <b/>
        <sz val="9"/>
        <color indexed="8"/>
        <rFont val="Arial"/>
        <family val="2"/>
      </rPr>
      <t>PERISCOLAIRE</t>
    </r>
    <r>
      <rPr>
        <sz val="9"/>
        <color indexed="8"/>
        <rFont val="Arial"/>
        <family val="2"/>
      </rPr>
      <t xml:space="preserve"> 
du soir (3h30 à Angerville)</t>
    </r>
  </si>
  <si>
    <r>
      <rPr>
        <b/>
        <sz val="9"/>
        <color indexed="8"/>
        <rFont val="Arial"/>
        <family val="2"/>
      </rPr>
      <t>TRANSPORT</t>
    </r>
    <r>
      <rPr>
        <sz val="9"/>
        <color indexed="8"/>
        <rFont val="Arial"/>
        <family val="2"/>
      </rPr>
      <t xml:space="preserve"> 
forfait jour</t>
    </r>
  </si>
  <si>
    <r>
      <rPr>
        <b/>
        <sz val="9"/>
        <color indexed="8"/>
        <rFont val="Arial"/>
        <family val="2"/>
      </rPr>
      <t>TRANSPORT</t>
    </r>
    <r>
      <rPr>
        <sz val="9"/>
        <color indexed="8"/>
        <rFont val="Arial"/>
        <family val="2"/>
      </rPr>
      <t xml:space="preserve"> 
forfait annuel</t>
    </r>
  </si>
  <si>
    <r>
      <rPr>
        <b/>
        <sz val="9"/>
        <color indexed="8"/>
        <rFont val="Arial"/>
        <family val="2"/>
      </rPr>
      <t>ETUDES DIRIGEES</t>
    </r>
    <r>
      <rPr>
        <sz val="9"/>
        <color indexed="8"/>
        <rFont val="Arial"/>
        <family val="2"/>
      </rPr>
      <t xml:space="preserve"> 
forfait 2 jours</t>
    </r>
  </si>
  <si>
    <r>
      <rPr>
        <b/>
        <sz val="9"/>
        <color indexed="8"/>
        <rFont val="Arial"/>
        <family val="2"/>
      </rPr>
      <t>ETUDES DIRIGEES</t>
    </r>
    <r>
      <rPr>
        <sz val="9"/>
        <color indexed="8"/>
        <rFont val="Arial"/>
        <family val="2"/>
      </rPr>
      <t xml:space="preserve"> 
forfait 4 jours</t>
    </r>
  </si>
  <si>
    <r>
      <rPr>
        <b/>
        <sz val="9"/>
        <color indexed="8"/>
        <rFont val="Arial"/>
        <family val="2"/>
      </rPr>
      <t>CONSERVATOIRE</t>
    </r>
    <r>
      <rPr>
        <sz val="9"/>
        <color indexed="8"/>
        <rFont val="Arial"/>
        <family val="2"/>
      </rPr>
      <t xml:space="preserve"> 
formation musicale</t>
    </r>
  </si>
  <si>
    <r>
      <rPr>
        <b/>
        <sz val="9"/>
        <color indexed="8"/>
        <rFont val="Arial"/>
        <family val="2"/>
      </rPr>
      <t>CONSERVATOIRE</t>
    </r>
    <r>
      <rPr>
        <sz val="9"/>
        <color indexed="8"/>
        <rFont val="Arial"/>
        <family val="2"/>
      </rPr>
      <t xml:space="preserve"> 
formation instrumentale</t>
    </r>
  </si>
  <si>
    <r>
      <rPr>
        <b/>
        <sz val="9"/>
        <color indexed="8"/>
        <rFont val="Arial"/>
        <family val="2"/>
      </rPr>
      <t>CONSERVATOIRE</t>
    </r>
    <r>
      <rPr>
        <sz val="9"/>
        <color indexed="8"/>
        <rFont val="Arial"/>
        <family val="2"/>
      </rPr>
      <t xml:space="preserve"> 
pratiques collectivies</t>
    </r>
  </si>
  <si>
    <r>
      <rPr>
        <b/>
        <sz val="9"/>
        <color indexed="8"/>
        <rFont val="Arial"/>
        <family val="2"/>
      </rPr>
      <t>CONSERVATOIRE</t>
    </r>
    <r>
      <rPr>
        <sz val="9"/>
        <color indexed="8"/>
        <rFont val="Arial"/>
        <family val="2"/>
      </rPr>
      <t xml:space="preserve"> 
location
</t>
    </r>
  </si>
  <si>
    <r>
      <rPr>
        <b/>
        <sz val="9"/>
        <color indexed="8"/>
        <rFont val="Arial"/>
        <family val="2"/>
      </rPr>
      <t>ALSH</t>
    </r>
    <r>
      <rPr>
        <sz val="9"/>
        <color indexed="8"/>
        <rFont val="Arial"/>
        <family val="2"/>
      </rPr>
      <t xml:space="preserve"> 
1/2 journée sans repas</t>
    </r>
  </si>
  <si>
    <r>
      <rPr>
        <b/>
        <sz val="9"/>
        <color indexed="8"/>
        <rFont val="Arial"/>
        <family val="2"/>
      </rPr>
      <t>ALSH</t>
    </r>
    <r>
      <rPr>
        <sz val="9"/>
        <color indexed="8"/>
        <rFont val="Arial"/>
        <family val="2"/>
      </rPr>
      <t xml:space="preserve"> 
1/2 journée avec repas</t>
    </r>
  </si>
  <si>
    <t xml:space="preserve">TAUX
des PRESTATIONS ENFANCE </t>
  </si>
  <si>
    <t xml:space="preserve">revenu mensuel </t>
  </si>
  <si>
    <t>taux d'effort</t>
  </si>
  <si>
    <t>mini</t>
  </si>
  <si>
    <t>maxi</t>
  </si>
  <si>
    <t xml:space="preserve">mon tarif </t>
  </si>
  <si>
    <t>PRESTATIONS</t>
  </si>
  <si>
    <t>base</t>
  </si>
  <si>
    <t>handicap</t>
  </si>
  <si>
    <t>résultante</t>
  </si>
  <si>
    <t xml:space="preserve">nomenclature </t>
  </si>
  <si>
    <t>1 enfant ou tarif adulte du conservatoire</t>
  </si>
  <si>
    <t>REVENUS ANNUELS IMPOSABLES 
avant abattements fiscaux</t>
  </si>
  <si>
    <r>
      <t xml:space="preserve">CONSERVATOIRE pratique collective 
</t>
    </r>
    <r>
      <rPr>
        <sz val="9"/>
        <color indexed="10"/>
        <rFont val="Arial"/>
        <family val="2"/>
      </rPr>
      <t>(pratique hors cursus - forfait annuel*)</t>
    </r>
  </si>
  <si>
    <t>* que vous pratiquiez un, deux, trois, quatre,… cours en pratique dite collective, vous payez le montant forfaitaire indiqué ci-contre</t>
  </si>
  <si>
    <r>
      <rPr>
        <b/>
        <sz val="9"/>
        <color indexed="8"/>
        <rFont val="Arial"/>
        <family val="2"/>
      </rPr>
      <t>PERISCOLAIRE</t>
    </r>
    <r>
      <rPr>
        <sz val="9"/>
        <color indexed="8"/>
        <rFont val="Arial"/>
        <family val="2"/>
      </rPr>
      <t xml:space="preserve"> 
du soir après études</t>
    </r>
  </si>
  <si>
    <r>
      <rPr>
        <b/>
        <sz val="9"/>
        <color indexed="8"/>
        <rFont val="Arial"/>
        <family val="2"/>
      </rPr>
      <t>PERISCOLAIRE</t>
    </r>
    <r>
      <rPr>
        <sz val="9"/>
        <color indexed="8"/>
        <rFont val="Arial"/>
        <family val="2"/>
      </rPr>
      <t xml:space="preserve"> 
du soir après études à Angerville</t>
    </r>
  </si>
  <si>
    <t>par ailleurs, les pratiques collectives au conservatoire ouvrent droit au tarif résident de l'agglomération</t>
  </si>
  <si>
    <r>
      <rPr>
        <b/>
        <sz val="9"/>
        <color indexed="8"/>
        <rFont val="Arial"/>
        <family val="2"/>
      </rPr>
      <t>Ecoles des arts</t>
    </r>
    <r>
      <rPr>
        <sz val="9"/>
        <color indexed="8"/>
        <rFont val="Arial"/>
        <family val="2"/>
      </rPr>
      <t xml:space="preserve"> tarifs enfant</t>
    </r>
  </si>
  <si>
    <r>
      <rPr>
        <b/>
        <sz val="9"/>
        <color indexed="8"/>
        <rFont val="Arial"/>
        <family val="2"/>
      </rPr>
      <t>Ecoles des arts</t>
    </r>
    <r>
      <rPr>
        <sz val="9"/>
        <color indexed="8"/>
        <rFont val="Arial"/>
        <family val="2"/>
      </rPr>
      <t xml:space="preserve"> tarifs adulte</t>
    </r>
  </si>
  <si>
    <t>ECOLE DES ARTS ENFANT (tarif annuel)</t>
  </si>
  <si>
    <t>ECOLE DES ARTS ADULTE (tarif annuel)</t>
  </si>
  <si>
    <t>nb. d'ENFANT(S) à charge</t>
  </si>
  <si>
    <t>Enfant(s) à charge en situation de handicap</t>
  </si>
  <si>
    <r>
      <t xml:space="preserve">CONSERVATOIRE formation musicale (éveil musical, éveil danse, parcours découverte, cursus danse, filière voix)
</t>
    </r>
    <r>
      <rPr>
        <i/>
        <sz val="9"/>
        <color indexed="10"/>
        <rFont val="Arial"/>
        <family val="2"/>
      </rPr>
      <t>tarif annuel</t>
    </r>
  </si>
  <si>
    <r>
      <t xml:space="preserve">CONSERVATOIRE formation instrumentale (et filière voix)
</t>
    </r>
    <r>
      <rPr>
        <i/>
        <sz val="9"/>
        <color indexed="10"/>
        <rFont val="Arial"/>
        <family val="2"/>
      </rPr>
      <t>tarif annuel</t>
    </r>
  </si>
  <si>
    <r>
      <t xml:space="preserve">CONSERVATOIRE location - </t>
    </r>
    <r>
      <rPr>
        <i/>
        <sz val="9"/>
        <color indexed="10"/>
        <rFont val="Arial"/>
        <family val="2"/>
      </rPr>
      <t>tarif annuel</t>
    </r>
  </si>
  <si>
    <t>ECOLE DE NATATION tarif trimestriel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</si>
</sst>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00000"/>
    <numFmt numFmtId="168" formatCode="#,##0.000000"/>
    <numFmt numFmtId="169" formatCode="#,##0.0000"/>
    <numFmt numFmtId="170" formatCode="#,##0.00\ &quot;€&quot;"/>
  </numFmts>
  <fonts count="62">
    <font>
      <sz val="11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9"/>
      <name val="Arial"/>
      <family val="2"/>
    </font>
    <font>
      <sz val="11"/>
      <color indexed="36"/>
      <name val="Arial"/>
      <family val="2"/>
    </font>
    <font>
      <sz val="12"/>
      <color indexed="36"/>
      <name val="Arial"/>
      <family val="2"/>
    </font>
    <font>
      <sz val="8"/>
      <name val="Segoe UI"/>
      <family val="2"/>
    </font>
    <font>
      <b/>
      <sz val="5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0"/>
      <name val="Arial"/>
      <family val="2"/>
    </font>
    <font>
      <sz val="9"/>
      <color rgb="FF000000"/>
      <name val="Arial"/>
      <family val="2"/>
    </font>
    <font>
      <sz val="9"/>
      <color rgb="FFFF3300"/>
      <name val="Arial"/>
      <family val="2"/>
    </font>
    <font>
      <sz val="11"/>
      <color rgb="FF7030A0"/>
      <name val="Arial"/>
      <family val="2"/>
    </font>
    <font>
      <sz val="12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hair"/>
      <top style="thick"/>
      <bottom style="thick"/>
    </border>
    <border>
      <left style="thick"/>
      <right/>
      <top style="thick"/>
      <bottom style="thick"/>
    </border>
    <border>
      <left style="thick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ck"/>
      <top style="medium"/>
      <bottom style="medium"/>
    </border>
    <border>
      <left style="thick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medium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thick"/>
      <right style="thick"/>
      <top style="thick"/>
      <bottom style="dotted"/>
    </border>
    <border>
      <left style="thick"/>
      <right/>
      <top style="thick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/>
      <top style="thick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medium"/>
      <top style="thick"/>
      <bottom style="hair"/>
    </border>
    <border>
      <left style="hair"/>
      <right style="thick"/>
      <top/>
      <bottom style="hair"/>
    </border>
    <border>
      <left style="thick"/>
      <right/>
      <top/>
      <bottom/>
    </border>
    <border>
      <left style="thick"/>
      <right/>
      <top style="hair"/>
      <bottom style="thick"/>
    </border>
    <border>
      <left style="thick"/>
      <right style="thick"/>
      <top style="dotted"/>
      <bottom style="dotted"/>
    </border>
    <border>
      <left style="thick"/>
      <right style="thick"/>
      <top style="dotted"/>
      <bottom style="thick"/>
    </border>
    <border>
      <left style="thick"/>
      <right/>
      <top/>
      <bottom style="thick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medium"/>
      <top style="hair"/>
      <bottom style="thick"/>
    </border>
    <border>
      <left style="hair"/>
      <right style="thick"/>
      <top style="hair"/>
      <bottom style="thick"/>
    </border>
    <border>
      <left style="thick"/>
      <right style="dotted"/>
      <top style="thick"/>
      <bottom style="dotted"/>
    </border>
    <border>
      <left style="dotted"/>
      <right style="dotted"/>
      <top style="thick"/>
      <bottom style="dotted"/>
    </border>
    <border>
      <left style="dotted"/>
      <right style="thick"/>
      <top style="thick"/>
      <bottom style="dotted"/>
    </border>
    <border>
      <left style="dotted"/>
      <right/>
      <top style="thick"/>
      <bottom style="dotted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tted"/>
      <right/>
      <top style="dotted"/>
      <bottom style="dotted"/>
    </border>
    <border>
      <left style="thick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 style="thick"/>
      <top style="dotted"/>
      <bottom style="thick"/>
    </border>
    <border>
      <left style="dotted"/>
      <right/>
      <top style="dotted"/>
      <bottom style="thick"/>
    </border>
    <border>
      <left/>
      <right style="hair">
        <color rgb="FF000000"/>
      </right>
      <top style="thick">
        <color rgb="FF000000"/>
      </top>
      <bottom style="thick">
        <color rgb="FF000000"/>
      </bottom>
    </border>
    <border>
      <left style="hair">
        <color rgb="FF000000"/>
      </left>
      <right/>
      <top style="thick">
        <color rgb="FF000000"/>
      </top>
      <bottom style="thick">
        <color rgb="FF000000"/>
      </bottom>
    </border>
    <border>
      <left style="medium">
        <color rgb="FF000000"/>
      </left>
      <right style="hair">
        <color rgb="FF000000"/>
      </right>
      <top style="thick">
        <color rgb="FF000000"/>
      </top>
      <bottom style="thick">
        <color rgb="FF000000"/>
      </bottom>
    </border>
    <border>
      <left style="hair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/>
      <right style="hair">
        <color rgb="FF000000"/>
      </right>
      <top style="thick">
        <color rgb="FF000000"/>
      </top>
      <bottom style="hair">
        <color rgb="FF000000"/>
      </bottom>
    </border>
    <border>
      <left style="hair">
        <color rgb="FF000000"/>
      </left>
      <right/>
      <top style="thick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thick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thick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thick">
        <color rgb="FF000000"/>
      </bottom>
    </border>
    <border>
      <left/>
      <right style="medium"/>
      <top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5">
    <xf numFmtId="0" fontId="0" fillId="0" borderId="0" xfId="0" applyAlignment="1">
      <alignment/>
    </xf>
    <xf numFmtId="0" fontId="52" fillId="0" borderId="0" xfId="0" applyFont="1" applyAlignment="1" applyProtection="1">
      <alignment/>
      <protection/>
    </xf>
    <xf numFmtId="0" fontId="52" fillId="0" borderId="10" xfId="0" applyFont="1" applyBorder="1" applyAlignment="1" applyProtection="1">
      <alignment horizontal="center" wrapText="1"/>
      <protection/>
    </xf>
    <xf numFmtId="0" fontId="53" fillId="33" borderId="11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center" wrapText="1"/>
      <protection/>
    </xf>
    <xf numFmtId="0" fontId="52" fillId="33" borderId="13" xfId="0" applyFont="1" applyFill="1" applyBorder="1" applyAlignment="1" applyProtection="1">
      <alignment horizontal="center" wrapText="1"/>
      <protection/>
    </xf>
    <xf numFmtId="0" fontId="52" fillId="33" borderId="14" xfId="0" applyFont="1" applyFill="1" applyBorder="1" applyAlignment="1" applyProtection="1">
      <alignment horizontal="center" wrapText="1"/>
      <protection/>
    </xf>
    <xf numFmtId="0" fontId="52" fillId="33" borderId="15" xfId="0" applyFont="1" applyFill="1" applyBorder="1" applyAlignment="1" applyProtection="1">
      <alignment horizontal="center" vertical="center" wrapText="1"/>
      <protection/>
    </xf>
    <xf numFmtId="0" fontId="52" fillId="33" borderId="16" xfId="0" applyFont="1" applyFill="1" applyBorder="1" applyAlignment="1" applyProtection="1">
      <alignment horizontal="center" vertical="center" wrapText="1"/>
      <protection/>
    </xf>
    <xf numFmtId="0" fontId="52" fillId="33" borderId="17" xfId="0" applyFont="1" applyFill="1" applyBorder="1" applyAlignment="1" applyProtection="1">
      <alignment horizontal="center" vertical="center" wrapText="1"/>
      <protection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2" fillId="33" borderId="19" xfId="0" applyFont="1" applyFill="1" applyBorder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wrapText="1"/>
      <protection/>
    </xf>
    <xf numFmtId="0" fontId="54" fillId="33" borderId="0" xfId="0" applyFont="1" applyFill="1" applyAlignment="1" applyProtection="1">
      <alignment/>
      <protection/>
    </xf>
    <xf numFmtId="0" fontId="55" fillId="33" borderId="0" xfId="0" applyFont="1" applyFill="1" applyBorder="1" applyAlignment="1" applyProtection="1">
      <alignment horizontal="right"/>
      <protection/>
    </xf>
    <xf numFmtId="167" fontId="4" fillId="33" borderId="0" xfId="0" applyNumberFormat="1" applyFont="1" applyFill="1" applyBorder="1" applyAlignment="1" applyProtection="1">
      <alignment/>
      <protection/>
    </xf>
    <xf numFmtId="44" fontId="55" fillId="5" borderId="20" xfId="46" applyFont="1" applyFill="1" applyBorder="1" applyAlignment="1" applyProtection="1">
      <alignment/>
      <protection locked="0"/>
    </xf>
    <xf numFmtId="0" fontId="52" fillId="0" borderId="21" xfId="0" applyFont="1" applyBorder="1" applyAlignment="1" applyProtection="1">
      <alignment horizontal="center" wrapText="1"/>
      <protection/>
    </xf>
    <xf numFmtId="0" fontId="52" fillId="0" borderId="22" xfId="0" applyFont="1" applyBorder="1" applyAlignment="1" applyProtection="1">
      <alignment horizontal="center" wrapText="1"/>
      <protection/>
    </xf>
    <xf numFmtId="0" fontId="52" fillId="0" borderId="23" xfId="0" applyFont="1" applyBorder="1" applyAlignment="1" applyProtection="1">
      <alignment horizontal="center" wrapText="1"/>
      <protection/>
    </xf>
    <xf numFmtId="0" fontId="52" fillId="0" borderId="24" xfId="0" applyFont="1" applyBorder="1" applyAlignment="1" applyProtection="1">
      <alignment horizontal="center" wrapText="1"/>
      <protection/>
    </xf>
    <xf numFmtId="0" fontId="56" fillId="33" borderId="25" xfId="0" applyFont="1" applyFill="1" applyBorder="1" applyAlignment="1" applyProtection="1">
      <alignment/>
      <protection/>
    </xf>
    <xf numFmtId="0" fontId="56" fillId="33" borderId="26" xfId="0" applyFont="1" applyFill="1" applyBorder="1" applyAlignment="1" applyProtection="1">
      <alignment/>
      <protection/>
    </xf>
    <xf numFmtId="0" fontId="52" fillId="33" borderId="0" xfId="0" applyFont="1" applyFill="1" applyAlignment="1" applyProtection="1">
      <alignment/>
      <protection/>
    </xf>
    <xf numFmtId="0" fontId="6" fillId="5" borderId="20" xfId="0" applyFont="1" applyFill="1" applyBorder="1" applyAlignment="1" applyProtection="1">
      <alignment horizontal="right" wrapText="1"/>
      <protection locked="0"/>
    </xf>
    <xf numFmtId="0" fontId="54" fillId="33" borderId="0" xfId="0" applyFont="1" applyFill="1" applyBorder="1" applyAlignment="1" applyProtection="1">
      <alignment/>
      <protection/>
    </xf>
    <xf numFmtId="166" fontId="57" fillId="33" borderId="0" xfId="0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8" fontId="58" fillId="0" borderId="27" xfId="0" applyNumberFormat="1" applyFont="1" applyBorder="1" applyAlignment="1">
      <alignment horizontal="right" wrapText="1"/>
    </xf>
    <xf numFmtId="8" fontId="58" fillId="0" borderId="28" xfId="0" applyNumberFormat="1" applyFont="1" applyBorder="1" applyAlignment="1">
      <alignment horizontal="right" wrapText="1"/>
    </xf>
    <xf numFmtId="0" fontId="0" fillId="33" borderId="29" xfId="0" applyFont="1" applyFill="1" applyBorder="1" applyAlignment="1" applyProtection="1">
      <alignment/>
      <protection/>
    </xf>
    <xf numFmtId="0" fontId="0" fillId="33" borderId="30" xfId="0" applyFont="1" applyFill="1" applyBorder="1" applyAlignment="1" applyProtection="1">
      <alignment/>
      <protection/>
    </xf>
    <xf numFmtId="0" fontId="0" fillId="33" borderId="31" xfId="0" applyFont="1" applyFill="1" applyBorder="1" applyAlignment="1" applyProtection="1">
      <alignment/>
      <protection/>
    </xf>
    <xf numFmtId="0" fontId="0" fillId="33" borderId="32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3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3" borderId="34" xfId="0" applyFont="1" applyFill="1" applyBorder="1" applyAlignment="1" applyProtection="1">
      <alignment/>
      <protection/>
    </xf>
    <xf numFmtId="0" fontId="0" fillId="33" borderId="35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36" xfId="0" applyFont="1" applyFill="1" applyBorder="1" applyAlignment="1" applyProtection="1">
      <alignment/>
      <protection/>
    </xf>
    <xf numFmtId="0" fontId="0" fillId="33" borderId="37" xfId="0" applyFont="1" applyFill="1" applyBorder="1" applyAlignment="1" applyProtection="1">
      <alignment/>
      <protection/>
    </xf>
    <xf numFmtId="0" fontId="0" fillId="33" borderId="38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66" fontId="0" fillId="33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5" borderId="20" xfId="0" applyFont="1" applyFill="1" applyBorder="1" applyAlignment="1" applyProtection="1">
      <alignment/>
      <protection locked="0"/>
    </xf>
    <xf numFmtId="0" fontId="56" fillId="33" borderId="0" xfId="0" applyFont="1" applyFill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4" fontId="0" fillId="33" borderId="39" xfId="0" applyNumberFormat="1" applyFont="1" applyFill="1" applyBorder="1" applyAlignment="1" applyProtection="1">
      <alignment/>
      <protection/>
    </xf>
    <xf numFmtId="4" fontId="0" fillId="33" borderId="40" xfId="0" applyNumberFormat="1" applyFont="1" applyFill="1" applyBorder="1" applyAlignment="1" applyProtection="1">
      <alignment/>
      <protection/>
    </xf>
    <xf numFmtId="4" fontId="0" fillId="33" borderId="41" xfId="0" applyNumberFormat="1" applyFont="1" applyFill="1" applyBorder="1" applyAlignment="1" applyProtection="1">
      <alignment/>
      <protection/>
    </xf>
    <xf numFmtId="4" fontId="0" fillId="33" borderId="39" xfId="0" applyNumberFormat="1" applyFont="1" applyFill="1" applyBorder="1" applyAlignment="1" applyProtection="1">
      <alignment horizontal="center"/>
      <protection/>
    </xf>
    <xf numFmtId="4" fontId="0" fillId="33" borderId="40" xfId="0" applyNumberFormat="1" applyFont="1" applyFill="1" applyBorder="1" applyAlignment="1" applyProtection="1">
      <alignment horizontal="center"/>
      <protection/>
    </xf>
    <xf numFmtId="4" fontId="58" fillId="0" borderId="28" xfId="0" applyNumberFormat="1" applyFont="1" applyBorder="1" applyAlignment="1">
      <alignment horizontal="right" wrapText="1"/>
    </xf>
    <xf numFmtId="4" fontId="0" fillId="33" borderId="42" xfId="0" applyNumberFormat="1" applyFont="1" applyFill="1" applyBorder="1" applyAlignment="1" applyProtection="1">
      <alignment horizontal="center"/>
      <protection/>
    </xf>
    <xf numFmtId="168" fontId="0" fillId="33" borderId="43" xfId="0" applyNumberFormat="1" applyFont="1" applyFill="1" applyBorder="1" applyAlignment="1" applyProtection="1">
      <alignment/>
      <protection/>
    </xf>
    <xf numFmtId="168" fontId="0" fillId="33" borderId="44" xfId="0" applyNumberFormat="1" applyFont="1" applyFill="1" applyBorder="1" applyAlignment="1" applyProtection="1">
      <alignment/>
      <protection/>
    </xf>
    <xf numFmtId="168" fontId="0" fillId="33" borderId="45" xfId="0" applyNumberFormat="1" applyFont="1" applyFill="1" applyBorder="1" applyAlignment="1" applyProtection="1">
      <alignment/>
      <protection/>
    </xf>
    <xf numFmtId="168" fontId="58" fillId="0" borderId="28" xfId="0" applyNumberFormat="1" applyFont="1" applyBorder="1" applyAlignment="1">
      <alignment horizontal="right" wrapText="1"/>
    </xf>
    <xf numFmtId="168" fontId="0" fillId="33" borderId="46" xfId="0" applyNumberFormat="1" applyFont="1" applyFill="1" applyBorder="1" applyAlignment="1" applyProtection="1">
      <alignment/>
      <protection/>
    </xf>
    <xf numFmtId="168" fontId="0" fillId="33" borderId="47" xfId="0" applyNumberFormat="1" applyFont="1" applyFill="1" applyBorder="1" applyAlignment="1" applyProtection="1">
      <alignment/>
      <protection/>
    </xf>
    <xf numFmtId="168" fontId="0" fillId="33" borderId="48" xfId="0" applyNumberFormat="1" applyFont="1" applyFill="1" applyBorder="1" applyAlignment="1" applyProtection="1">
      <alignment/>
      <protection/>
    </xf>
    <xf numFmtId="168" fontId="0" fillId="33" borderId="49" xfId="0" applyNumberFormat="1" applyFont="1" applyFill="1" applyBorder="1" applyAlignment="1" applyProtection="1">
      <alignment/>
      <protection/>
    </xf>
    <xf numFmtId="168" fontId="0" fillId="33" borderId="50" xfId="0" applyNumberFormat="1" applyFont="1" applyFill="1" applyBorder="1" applyAlignment="1" applyProtection="1">
      <alignment/>
      <protection/>
    </xf>
    <xf numFmtId="168" fontId="59" fillId="0" borderId="28" xfId="0" applyNumberFormat="1" applyFont="1" applyBorder="1" applyAlignment="1">
      <alignment horizontal="right" wrapText="1"/>
    </xf>
    <xf numFmtId="168" fontId="0" fillId="33" borderId="51" xfId="0" applyNumberFormat="1" applyFont="1" applyFill="1" applyBorder="1" applyAlignment="1" applyProtection="1">
      <alignment/>
      <protection/>
    </xf>
    <xf numFmtId="168" fontId="0" fillId="33" borderId="52" xfId="0" applyNumberFormat="1" applyFont="1" applyFill="1" applyBorder="1" applyAlignment="1" applyProtection="1">
      <alignment/>
      <protection/>
    </xf>
    <xf numFmtId="168" fontId="0" fillId="33" borderId="53" xfId="0" applyNumberFormat="1" applyFont="1" applyFill="1" applyBorder="1" applyAlignment="1" applyProtection="1">
      <alignment/>
      <protection/>
    </xf>
    <xf numFmtId="168" fontId="0" fillId="33" borderId="54" xfId="0" applyNumberFormat="1" applyFont="1" applyFill="1" applyBorder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8" fontId="0" fillId="0" borderId="0" xfId="0" applyNumberFormat="1" applyFont="1" applyFill="1" applyBorder="1" applyAlignment="1" applyProtection="1">
      <alignment/>
      <protection/>
    </xf>
    <xf numFmtId="169" fontId="0" fillId="34" borderId="55" xfId="0" applyNumberFormat="1" applyFont="1" applyFill="1" applyBorder="1" applyAlignment="1" applyProtection="1">
      <alignment/>
      <protection/>
    </xf>
    <xf numFmtId="169" fontId="0" fillId="34" borderId="56" xfId="0" applyNumberFormat="1" applyFont="1" applyFill="1" applyBorder="1" applyAlignment="1" applyProtection="1">
      <alignment/>
      <protection/>
    </xf>
    <xf numFmtId="169" fontId="0" fillId="34" borderId="57" xfId="0" applyNumberFormat="1" applyFont="1" applyFill="1" applyBorder="1" applyAlignment="1" applyProtection="1">
      <alignment/>
      <protection/>
    </xf>
    <xf numFmtId="169" fontId="0" fillId="34" borderId="58" xfId="0" applyNumberFormat="1" applyFont="1" applyFill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4" fontId="0" fillId="34" borderId="59" xfId="0" applyNumberFormat="1" applyFont="1" applyFill="1" applyBorder="1" applyAlignment="1" applyProtection="1">
      <alignment/>
      <protection/>
    </xf>
    <xf numFmtId="4" fontId="0" fillId="34" borderId="60" xfId="0" applyNumberFormat="1" applyFont="1" applyFill="1" applyBorder="1" applyAlignment="1" applyProtection="1">
      <alignment/>
      <protection/>
    </xf>
    <xf numFmtId="4" fontId="0" fillId="34" borderId="61" xfId="0" applyNumberFormat="1" applyFont="1" applyFill="1" applyBorder="1" applyAlignment="1" applyProtection="1">
      <alignment/>
      <protection/>
    </xf>
    <xf numFmtId="4" fontId="0" fillId="34" borderId="62" xfId="0" applyNumberFormat="1" applyFont="1" applyFill="1" applyBorder="1" applyAlignment="1" applyProtection="1">
      <alignment/>
      <protection/>
    </xf>
    <xf numFmtId="4" fontId="0" fillId="34" borderId="63" xfId="0" applyNumberFormat="1" applyFont="1" applyFill="1" applyBorder="1" applyAlignment="1" applyProtection="1">
      <alignment/>
      <protection/>
    </xf>
    <xf numFmtId="4" fontId="0" fillId="35" borderId="63" xfId="0" applyNumberFormat="1" applyFont="1" applyFill="1" applyBorder="1" applyAlignment="1" applyProtection="1">
      <alignment/>
      <protection/>
    </xf>
    <xf numFmtId="4" fontId="0" fillId="34" borderId="0" xfId="0" applyNumberFormat="1" applyFont="1" applyFill="1" applyBorder="1" applyAlignment="1" applyProtection="1">
      <alignment/>
      <protection/>
    </xf>
    <xf numFmtId="4" fontId="0" fillId="35" borderId="0" xfId="0" applyNumberFormat="1" applyFont="1" applyFill="1" applyBorder="1" applyAlignment="1" applyProtection="1">
      <alignment/>
      <protection/>
    </xf>
    <xf numFmtId="168" fontId="0" fillId="34" borderId="0" xfId="0" applyNumberFormat="1" applyFont="1" applyFill="1" applyBorder="1" applyAlignment="1" applyProtection="1">
      <alignment/>
      <protection/>
    </xf>
    <xf numFmtId="167" fontId="4" fillId="3" borderId="0" xfId="0" applyNumberFormat="1" applyFont="1" applyFill="1" applyBorder="1" applyAlignment="1" applyProtection="1">
      <alignment/>
      <protection/>
    </xf>
    <xf numFmtId="167" fontId="4" fillId="2" borderId="0" xfId="0" applyNumberFormat="1" applyFont="1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center"/>
      <protection/>
    </xf>
    <xf numFmtId="4" fontId="0" fillId="33" borderId="30" xfId="0" applyNumberFormat="1" applyFont="1" applyFill="1" applyBorder="1" applyAlignment="1" applyProtection="1">
      <alignment/>
      <protection/>
    </xf>
    <xf numFmtId="4" fontId="0" fillId="0" borderId="30" xfId="0" applyNumberFormat="1" applyFont="1" applyBorder="1" applyAlignment="1" applyProtection="1">
      <alignment/>
      <protection/>
    </xf>
    <xf numFmtId="170" fontId="0" fillId="33" borderId="0" xfId="46" applyNumberFormat="1" applyFont="1" applyFill="1" applyBorder="1" applyAlignment="1" applyProtection="1">
      <alignment horizontal="right"/>
      <protection/>
    </xf>
    <xf numFmtId="170" fontId="6" fillId="33" borderId="0" xfId="46" applyNumberFormat="1" applyFont="1" applyFill="1" applyBorder="1" applyAlignment="1" applyProtection="1">
      <alignment horizontal="right"/>
      <protection/>
    </xf>
    <xf numFmtId="170" fontId="60" fillId="33" borderId="0" xfId="46" applyNumberFormat="1" applyFont="1" applyFill="1" applyBorder="1" applyAlignment="1" applyProtection="1">
      <alignment horizontal="right"/>
      <protection/>
    </xf>
    <xf numFmtId="170" fontId="61" fillId="33" borderId="0" xfId="46" applyNumberFormat="1" applyFont="1" applyFill="1" applyBorder="1" applyAlignment="1" applyProtection="1">
      <alignment horizontal="right"/>
      <protection/>
    </xf>
    <xf numFmtId="170" fontId="6" fillId="36" borderId="0" xfId="46" applyNumberFormat="1" applyFont="1" applyFill="1" applyBorder="1" applyAlignment="1" applyProtection="1">
      <alignment horizontal="right"/>
      <protection/>
    </xf>
    <xf numFmtId="170" fontId="6" fillId="2" borderId="0" xfId="46" applyNumberFormat="1" applyFont="1" applyFill="1" applyBorder="1" applyAlignment="1" applyProtection="1">
      <alignment horizontal="right"/>
      <protection/>
    </xf>
    <xf numFmtId="170" fontId="61" fillId="2" borderId="0" xfId="46" applyNumberFormat="1" applyFont="1" applyFill="1" applyBorder="1" applyAlignment="1" applyProtection="1">
      <alignment horizontal="right"/>
      <protection/>
    </xf>
    <xf numFmtId="170" fontId="6" fillId="37" borderId="0" xfId="46" applyNumberFormat="1" applyFont="1" applyFill="1" applyBorder="1" applyAlignment="1" applyProtection="1">
      <alignment horizontal="right"/>
      <protection/>
    </xf>
    <xf numFmtId="170" fontId="61" fillId="3" borderId="0" xfId="46" applyNumberFormat="1" applyFont="1" applyFill="1" applyBorder="1" applyAlignment="1" applyProtection="1">
      <alignment horizontal="right"/>
      <protection/>
    </xf>
    <xf numFmtId="0" fontId="54" fillId="33" borderId="0" xfId="0" applyFont="1" applyFill="1" applyAlignment="1" applyProtection="1">
      <alignment horizontal="center"/>
      <protection/>
    </xf>
    <xf numFmtId="0" fontId="55" fillId="33" borderId="0" xfId="0" applyFont="1" applyFill="1" applyAlignment="1" applyProtection="1">
      <alignment horizontal="right"/>
      <protection/>
    </xf>
    <xf numFmtId="0" fontId="55" fillId="33" borderId="64" xfId="0" applyFont="1" applyFill="1" applyBorder="1" applyAlignment="1" applyProtection="1">
      <alignment horizontal="right"/>
      <protection/>
    </xf>
    <xf numFmtId="0" fontId="52" fillId="33" borderId="0" xfId="0" applyFont="1" applyFill="1" applyAlignment="1" applyProtection="1">
      <alignment horizontal="left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" fillId="2" borderId="0" xfId="0" applyFont="1" applyFill="1" applyBorder="1" applyAlignment="1" applyProtection="1">
      <alignment horizontal="left" wrapText="1"/>
      <protection/>
    </xf>
    <xf numFmtId="0" fontId="5" fillId="2" borderId="0" xfId="0" applyFont="1" applyFill="1" applyBorder="1" applyAlignment="1" applyProtection="1">
      <alignment horizontal="left"/>
      <protection/>
    </xf>
    <xf numFmtId="0" fontId="5" fillId="3" borderId="0" xfId="0" applyFont="1" applyFill="1" applyAlignment="1" applyProtection="1">
      <alignment horizontal="left"/>
      <protection/>
    </xf>
    <xf numFmtId="0" fontId="5" fillId="3" borderId="0" xfId="0" applyFont="1" applyFill="1" applyBorder="1" applyAlignment="1" applyProtection="1">
      <alignment horizontal="left"/>
      <protection/>
    </xf>
    <xf numFmtId="0" fontId="0" fillId="33" borderId="65" xfId="0" applyFont="1" applyFill="1" applyBorder="1" applyAlignment="1" applyProtection="1">
      <alignment horizontal="center"/>
      <protection/>
    </xf>
    <xf numFmtId="0" fontId="55" fillId="33" borderId="0" xfId="0" applyFont="1" applyFill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theme="7" tint="-0.24993999302387238"/>
      </font>
      <fill>
        <patternFill>
          <bgColor rgb="FFFFFF99"/>
        </patternFill>
      </fill>
    </dxf>
    <dxf>
      <font>
        <color theme="7" tint="-0.24993999302387238"/>
      </font>
      <fill>
        <patternFill>
          <bgColor rgb="FFFFFF99"/>
        </patternFill>
      </fill>
    </dxf>
    <dxf>
      <font>
        <color theme="7" tint="-0.24993999302387238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28</xdr:row>
      <xdr:rowOff>180975</xdr:rowOff>
    </xdr:from>
    <xdr:to>
      <xdr:col>2</xdr:col>
      <xdr:colOff>476250</xdr:colOff>
      <xdr:row>36</xdr:row>
      <xdr:rowOff>47625</xdr:rowOff>
    </xdr:to>
    <xdr:pic>
      <xdr:nvPicPr>
        <xdr:cNvPr id="1" name="Image 1" descr="logo_caese_2305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52425"/>
          <a:ext cx="11620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914400</xdr:colOff>
      <xdr:row>35</xdr:row>
      <xdr:rowOff>28575</xdr:rowOff>
    </xdr:from>
    <xdr:ext cx="3914775" cy="952500"/>
    <xdr:sp>
      <xdr:nvSpPr>
        <xdr:cNvPr id="2" name="Rectangle 2"/>
        <xdr:cNvSpPr>
          <a:spLocks/>
        </xdr:cNvSpPr>
      </xdr:nvSpPr>
      <xdr:spPr>
        <a:xfrm>
          <a:off x="5105400" y="1914525"/>
          <a:ext cx="39147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Simulateur</a:t>
          </a:r>
          <a:r>
            <a:rPr lang="en-US" cap="none" sz="5400" b="1" i="0" u="none" baseline="0"/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tabSelected="1" zoomScalePageLayoutView="0" workbookViewId="0" topLeftCell="A28">
      <selection activeCell="F30" sqref="F30"/>
    </sheetView>
  </sheetViews>
  <sheetFormatPr defaultColWidth="11.00390625" defaultRowHeight="14.25"/>
  <cols>
    <col min="1" max="1" width="8.125" style="38" customWidth="1"/>
    <col min="2" max="3" width="8.375" style="38" bestFit="1" customWidth="1"/>
    <col min="4" max="4" width="30.125" style="38" customWidth="1"/>
    <col min="5" max="5" width="24.125" style="38" customWidth="1"/>
    <col min="6" max="6" width="21.25390625" style="38" customWidth="1"/>
    <col min="7" max="11" width="14.25390625" style="38" customWidth="1"/>
    <col min="12" max="12" width="23.375" style="38" customWidth="1"/>
    <col min="13" max="13" width="14.25390625" style="38" customWidth="1"/>
    <col min="14" max="15" width="18.125" style="38" customWidth="1"/>
    <col min="16" max="20" width="14.25390625" style="38" hidden="1" customWidth="1"/>
    <col min="21" max="21" width="14.25390625" style="38" customWidth="1"/>
    <col min="22" max="24" width="11.00390625" style="38" customWidth="1"/>
    <col min="25" max="16384" width="11.00390625" style="38" customWidth="1"/>
  </cols>
  <sheetData>
    <row r="1" spans="1:21" s="1" customFormat="1" ht="69" hidden="1" thickBot="1" thickTop="1">
      <c r="A1" s="3" t="s">
        <v>29</v>
      </c>
      <c r="B1" s="4" t="s">
        <v>27</v>
      </c>
      <c r="C1" s="5" t="s">
        <v>28</v>
      </c>
      <c r="D1" s="5" t="s">
        <v>14</v>
      </c>
      <c r="E1" s="6" t="s">
        <v>15</v>
      </c>
      <c r="F1" s="7" t="s">
        <v>16</v>
      </c>
      <c r="G1" s="8" t="s">
        <v>17</v>
      </c>
      <c r="H1" s="27" t="s">
        <v>44</v>
      </c>
      <c r="I1" s="9" t="s">
        <v>18</v>
      </c>
      <c r="J1" s="28" t="s">
        <v>45</v>
      </c>
      <c r="K1" s="10" t="s">
        <v>19</v>
      </c>
      <c r="L1" s="9" t="s">
        <v>20</v>
      </c>
      <c r="M1" s="10" t="s">
        <v>21</v>
      </c>
      <c r="N1" s="11" t="s">
        <v>22</v>
      </c>
      <c r="O1" s="11" t="s">
        <v>56</v>
      </c>
      <c r="P1" s="17" t="s">
        <v>23</v>
      </c>
      <c r="Q1" s="18" t="s">
        <v>24</v>
      </c>
      <c r="R1" s="19" t="s">
        <v>25</v>
      </c>
      <c r="S1" s="20" t="s">
        <v>26</v>
      </c>
      <c r="T1" s="20" t="s">
        <v>47</v>
      </c>
      <c r="U1" s="20" t="s">
        <v>48</v>
      </c>
    </row>
    <row r="2" spans="1:22" ht="15" hidden="1" thickBot="1" thickTop="1">
      <c r="A2" s="31" t="s">
        <v>0</v>
      </c>
      <c r="B2" s="32">
        <v>1.13</v>
      </c>
      <c r="C2" s="33">
        <v>2.26</v>
      </c>
      <c r="D2" s="33">
        <v>3.4</v>
      </c>
      <c r="E2" s="34">
        <v>3.6</v>
      </c>
      <c r="F2" s="35">
        <v>0.73</v>
      </c>
      <c r="G2" s="36">
        <v>0.83</v>
      </c>
      <c r="H2" s="30">
        <v>0.3315315315315315</v>
      </c>
      <c r="I2" s="37">
        <v>1.16</v>
      </c>
      <c r="J2" s="29">
        <v>0.58</v>
      </c>
      <c r="K2" s="35">
        <v>0.25</v>
      </c>
      <c r="L2" s="37">
        <v>11.21</v>
      </c>
      <c r="M2" s="35">
        <v>2.59</v>
      </c>
      <c r="N2" s="37">
        <v>5.18</v>
      </c>
      <c r="O2" s="37">
        <v>13</v>
      </c>
      <c r="P2" s="81">
        <v>30.783</v>
      </c>
      <c r="Q2" s="82">
        <v>46.1745</v>
      </c>
      <c r="R2" s="83">
        <v>20.522</v>
      </c>
      <c r="S2" s="84">
        <v>38.9918</v>
      </c>
      <c r="T2" s="87">
        <v>27.5</v>
      </c>
      <c r="U2" s="87">
        <v>32.5</v>
      </c>
      <c r="V2" s="1"/>
    </row>
    <row r="3" spans="1:22" ht="15" hidden="1" thickBot="1" thickTop="1">
      <c r="A3" s="39" t="s">
        <v>1</v>
      </c>
      <c r="B3" s="32">
        <v>9.06</v>
      </c>
      <c r="C3" s="33">
        <v>18.12</v>
      </c>
      <c r="D3" s="33">
        <v>27.18</v>
      </c>
      <c r="E3" s="34">
        <v>28.82</v>
      </c>
      <c r="F3" s="35">
        <v>5.8</v>
      </c>
      <c r="G3" s="36">
        <v>6.63</v>
      </c>
      <c r="H3" s="30">
        <f>+H2*8</f>
        <v>2.652252252252252</v>
      </c>
      <c r="I3" s="37">
        <f>+I2*8</f>
        <v>9.28</v>
      </c>
      <c r="J3" s="29">
        <f>+J2*8</f>
        <v>4.64</v>
      </c>
      <c r="K3" s="35">
        <v>2.04</v>
      </c>
      <c r="L3" s="37">
        <v>89.7</v>
      </c>
      <c r="M3" s="35">
        <f aca="true" t="shared" si="0" ref="M3:S3">+M2*8</f>
        <v>20.72</v>
      </c>
      <c r="N3" s="37">
        <f t="shared" si="0"/>
        <v>41.44</v>
      </c>
      <c r="O3" s="37">
        <f>+O2*8</f>
        <v>104</v>
      </c>
      <c r="P3" s="85">
        <f t="shared" si="0"/>
        <v>246.264</v>
      </c>
      <c r="Q3" s="85">
        <f t="shared" si="0"/>
        <v>369.396</v>
      </c>
      <c r="R3" s="85">
        <f t="shared" si="0"/>
        <v>164.176</v>
      </c>
      <c r="S3" s="85">
        <f t="shared" si="0"/>
        <v>311.9344</v>
      </c>
      <c r="T3" s="87">
        <f>+T2*8</f>
        <v>220</v>
      </c>
      <c r="U3" s="87">
        <f>+U2*8</f>
        <v>260</v>
      </c>
      <c r="V3" s="1"/>
    </row>
    <row r="4" spans="1:22" ht="15" hidden="1" thickBot="1" thickTop="1">
      <c r="A4" s="40" t="s">
        <v>2</v>
      </c>
      <c r="B4" s="52">
        <v>9.96</v>
      </c>
      <c r="C4" s="53">
        <f>+C3*1.1</f>
        <v>19.932000000000002</v>
      </c>
      <c r="D4" s="53">
        <v>29.89</v>
      </c>
      <c r="E4" s="54">
        <f>+E3*1.1</f>
        <v>31.702</v>
      </c>
      <c r="F4" s="55">
        <f>+F3*1.1</f>
        <v>6.38</v>
      </c>
      <c r="G4" s="56">
        <f aca="true" t="shared" si="1" ref="G4:M4">+G3*1.1</f>
        <v>7.293</v>
      </c>
      <c r="H4" s="57">
        <f>+H3*1.1</f>
        <v>2.9174774774774774</v>
      </c>
      <c r="I4" s="58">
        <f t="shared" si="1"/>
        <v>10.208</v>
      </c>
      <c r="J4" s="57">
        <v>5.11</v>
      </c>
      <c r="K4" s="55">
        <f t="shared" si="1"/>
        <v>2.244</v>
      </c>
      <c r="L4" s="58">
        <f t="shared" si="1"/>
        <v>98.67000000000002</v>
      </c>
      <c r="M4" s="55">
        <f t="shared" si="1"/>
        <v>22.792</v>
      </c>
      <c r="N4" s="58">
        <v>45.59</v>
      </c>
      <c r="O4" s="58">
        <f>+O3*1.1</f>
        <v>114.4</v>
      </c>
      <c r="P4" s="86">
        <f>P3*1.1</f>
        <v>270.89040000000006</v>
      </c>
      <c r="Q4" s="86">
        <f>Q3*1.1</f>
        <v>406.33560000000006</v>
      </c>
      <c r="R4" s="86">
        <f>+R3*1.1</f>
        <v>180.5936</v>
      </c>
      <c r="S4" s="86">
        <f>S3*1.1</f>
        <v>343.12784</v>
      </c>
      <c r="T4" s="88">
        <f>+T3*1.1</f>
        <v>242.00000000000003</v>
      </c>
      <c r="U4" s="88">
        <f>+U3*1.1</f>
        <v>286</v>
      </c>
      <c r="V4" s="1"/>
    </row>
    <row r="5" spans="1:22" ht="15" hidden="1" thickBot="1" thickTop="1">
      <c r="A5" s="113" t="s">
        <v>3</v>
      </c>
      <c r="B5" s="113"/>
      <c r="C5" s="113"/>
      <c r="D5" s="113"/>
      <c r="E5" s="113"/>
      <c r="F5" s="41"/>
      <c r="G5" s="41"/>
      <c r="H5" s="41"/>
      <c r="I5" s="41"/>
      <c r="J5" s="41"/>
      <c r="K5" s="41"/>
      <c r="L5" s="41"/>
      <c r="M5" s="41"/>
      <c r="N5" s="41"/>
      <c r="O5" s="41"/>
      <c r="V5" s="1"/>
    </row>
    <row r="6" spans="1:22" ht="15" hidden="1" thickBot="1" thickTop="1">
      <c r="A6" s="21" t="s">
        <v>40</v>
      </c>
      <c r="B6" s="59">
        <v>0.0013486073898552845</v>
      </c>
      <c r="C6" s="60">
        <v>0.002697214779710569</v>
      </c>
      <c r="D6" s="60">
        <v>0.004045822169565853</v>
      </c>
      <c r="E6" s="61">
        <v>0.004291023513175904</v>
      </c>
      <c r="F6" s="59">
        <v>0.0008637541092699376</v>
      </c>
      <c r="G6" s="60">
        <v>0.0009871475534513575</v>
      </c>
      <c r="H6" s="62">
        <v>0.00039485902138054296</v>
      </c>
      <c r="I6" s="61">
        <v>0.0013820065748319005</v>
      </c>
      <c r="J6" s="62">
        <v>0.000691</v>
      </c>
      <c r="K6" s="59">
        <v>0.0003035110211934384</v>
      </c>
      <c r="L6" s="63">
        <v>0.01335448493251129</v>
      </c>
      <c r="M6" s="59">
        <v>0.003084836104535492</v>
      </c>
      <c r="N6" s="61">
        <v>0.006169672209070984</v>
      </c>
      <c r="O6" s="61">
        <v>0.015483</v>
      </c>
      <c r="P6" s="75">
        <v>0.036661969587465676</v>
      </c>
      <c r="Q6" s="76">
        <v>0.05499295438119851</v>
      </c>
      <c r="R6" s="77">
        <v>0.02444131305831045</v>
      </c>
      <c r="S6" s="78">
        <v>0.046438494810789856</v>
      </c>
      <c r="T6" s="89">
        <v>0.03275291203163336</v>
      </c>
      <c r="U6" s="89">
        <v>0.038707986946475786</v>
      </c>
      <c r="V6" s="1">
        <f>ROW(A6:U6)</f>
        <v>6</v>
      </c>
    </row>
    <row r="7" spans="1:22" ht="14.25" hidden="1" thickTop="1">
      <c r="A7" s="42" t="s">
        <v>4</v>
      </c>
      <c r="B7" s="64">
        <v>0.0011935165592165521</v>
      </c>
      <c r="C7" s="65">
        <v>0.0024214809647941935</v>
      </c>
      <c r="D7" s="65">
        <v>0.0035801160205510786</v>
      </c>
      <c r="E7" s="66">
        <v>0.0037970999567911922</v>
      </c>
      <c r="F7" s="64">
        <v>0.0007648353978187169</v>
      </c>
      <c r="G7" s="65">
        <v>0.0008739519145741874</v>
      </c>
      <c r="H7" s="62">
        <v>0.0003499654892339179</v>
      </c>
      <c r="I7" s="66">
        <v>0.001222897330792213</v>
      </c>
      <c r="J7" s="62">
        <v>0.00612</v>
      </c>
      <c r="K7" s="64">
        <v>0.0002684519923427112</v>
      </c>
      <c r="L7" s="67">
        <v>0.011818483397564646</v>
      </c>
      <c r="M7" s="64">
        <v>0.0027299524799476076</v>
      </c>
      <c r="N7" s="66">
        <v>0.005459904959895215</v>
      </c>
      <c r="O7" s="66">
        <v>0.012903</v>
      </c>
      <c r="P7" s="79">
        <v>0.032420088808750636</v>
      </c>
      <c r="Q7" s="79">
        <v>0.04863597066373886</v>
      </c>
      <c r="R7" s="79">
        <v>0.02161339253916709</v>
      </c>
      <c r="S7" s="79">
        <v>0.04108797258259016</v>
      </c>
      <c r="T7" s="73">
        <v>0.027293930822291698</v>
      </c>
      <c r="U7" s="73">
        <v>0.03225646369907201</v>
      </c>
      <c r="V7" s="1">
        <f aca="true" t="shared" si="2" ref="V7:V14">ROW(A7:U7)</f>
        <v>7</v>
      </c>
    </row>
    <row r="8" spans="1:22" ht="13.5" hidden="1">
      <c r="A8" s="42" t="s">
        <v>5</v>
      </c>
      <c r="B8" s="64">
        <v>0.0010557251737721963</v>
      </c>
      <c r="C8" s="65">
        <v>0.002142858678050092</v>
      </c>
      <c r="D8" s="65">
        <v>0.003168608431981989</v>
      </c>
      <c r="E8" s="66">
        <v>0.0033612850540987995</v>
      </c>
      <c r="F8" s="64">
        <v>0.0006761144916717456</v>
      </c>
      <c r="G8" s="65">
        <v>0.0007729936420621167</v>
      </c>
      <c r="H8" s="62">
        <v>0.00030915318728244064</v>
      </c>
      <c r="I8" s="66">
        <v>0.0010821468456801819</v>
      </c>
      <c r="J8" s="68">
        <v>0.000541</v>
      </c>
      <c r="K8" s="64">
        <v>0.0002373997096463528</v>
      </c>
      <c r="L8" s="67">
        <v>0.01046006009363404</v>
      </c>
      <c r="M8" s="64">
        <v>0.002415860076576721</v>
      </c>
      <c r="N8" s="66">
        <v>0.004832739933683867</v>
      </c>
      <c r="O8" s="66">
        <v>0.010557</v>
      </c>
      <c r="P8" s="79">
        <v>0.028683193837025486</v>
      </c>
      <c r="Q8" s="79">
        <v>0.04308622297389315</v>
      </c>
      <c r="R8" s="79">
        <v>0.01918946066561564</v>
      </c>
      <c r="S8" s="79">
        <v>0.03634316985192249</v>
      </c>
      <c r="T8" s="73">
        <v>0.022331579289287338</v>
      </c>
      <c r="U8" s="73">
        <v>0.026391866432794127</v>
      </c>
      <c r="V8" s="1">
        <f t="shared" si="2"/>
        <v>8</v>
      </c>
    </row>
    <row r="9" spans="1:22" ht="13.5" hidden="1">
      <c r="A9" s="42" t="s">
        <v>6</v>
      </c>
      <c r="B9" s="64">
        <v>0.000935157711508385</v>
      </c>
      <c r="C9" s="65">
        <v>0.0018966578937634855</v>
      </c>
      <c r="D9" s="65">
        <v>0.002804273664541551</v>
      </c>
      <c r="E9" s="66">
        <v>0.002974561945043021</v>
      </c>
      <c r="F9" s="64">
        <v>0.000598611171359449</v>
      </c>
      <c r="G9" s="65">
        <v>0.0006842727359151456</v>
      </c>
      <c r="H9" s="62">
        <v>0.000273442423074898</v>
      </c>
      <c r="I9" s="66">
        <v>0.0009577152573927338</v>
      </c>
      <c r="J9" s="68">
        <v>0.000479</v>
      </c>
      <c r="K9" s="64">
        <v>0.00021035417310436325</v>
      </c>
      <c r="L9" s="67">
        <v>0.009257143150197707</v>
      </c>
      <c r="M9" s="64">
        <v>0.0021384797723011328</v>
      </c>
      <c r="N9" s="66">
        <v>0.004276959544602266</v>
      </c>
      <c r="O9" s="66">
        <v>0.008933</v>
      </c>
      <c r="P9" s="79">
        <v>0.025451284672290218</v>
      </c>
      <c r="Q9" s="79">
        <v>0.03814190230475787</v>
      </c>
      <c r="R9" s="79">
        <v>0.016967523114860144</v>
      </c>
      <c r="S9" s="79">
        <v>0.032204086618786876</v>
      </c>
      <c r="T9" s="73">
        <v>0.018896057938749287</v>
      </c>
      <c r="U9" s="73">
        <v>0.022331704836703704</v>
      </c>
      <c r="V9" s="1">
        <f t="shared" si="2"/>
        <v>9</v>
      </c>
    </row>
    <row r="10" spans="1:22" ht="13.5" hidden="1">
      <c r="A10" s="42" t="s">
        <v>7</v>
      </c>
      <c r="B10" s="64">
        <v>0.0008267483126661346</v>
      </c>
      <c r="C10" s="65">
        <v>0.0016778127521753909</v>
      </c>
      <c r="D10" s="65">
        <v>0.0024820933330033127</v>
      </c>
      <c r="E10" s="66">
        <v>0.0026319212629262435</v>
      </c>
      <c r="F10" s="64">
        <v>0.000530285875820977</v>
      </c>
      <c r="G10" s="65">
        <v>0.0006057496350724241</v>
      </c>
      <c r="H10" s="68">
        <v>0.00024283319661129004</v>
      </c>
      <c r="I10" s="66">
        <v>0.0008475627038267964</v>
      </c>
      <c r="J10" s="68">
        <v>0.000424</v>
      </c>
      <c r="K10" s="64">
        <v>0.0001863136961781503</v>
      </c>
      <c r="L10" s="67">
        <v>0.00819267703094337</v>
      </c>
      <c r="M10" s="64">
        <v>0.0018927126644687185</v>
      </c>
      <c r="N10" s="66">
        <v>0.0037844055484070123</v>
      </c>
      <c r="O10" s="66">
        <v>0.007742</v>
      </c>
      <c r="P10" s="79">
        <v>0.022522366991748883</v>
      </c>
      <c r="Q10" s="79">
        <v>0.033702104152881295</v>
      </c>
      <c r="R10" s="79">
        <v>0.014947579886900604</v>
      </c>
      <c r="S10" s="79">
        <v>0.028468816384005956</v>
      </c>
      <c r="T10" s="73">
        <v>0.016376651064184563</v>
      </c>
      <c r="U10" s="73">
        <v>0.019354223984945393</v>
      </c>
      <c r="V10" s="1">
        <f t="shared" si="2"/>
        <v>10</v>
      </c>
    </row>
    <row r="11" spans="1:22" ht="13.5" hidden="1">
      <c r="A11" s="42" t="s">
        <v>8</v>
      </c>
      <c r="B11" s="64">
        <v>0.0007325233211490385</v>
      </c>
      <c r="C11" s="65">
        <v>0.0014853100813340115</v>
      </c>
      <c r="D11" s="65">
        <v>0.002196045375095531</v>
      </c>
      <c r="E11" s="66">
        <v>0.002329355514390375</v>
      </c>
      <c r="F11" s="64">
        <v>0.0004690990439954797</v>
      </c>
      <c r="G11" s="65">
        <v>0.000536404559003527</v>
      </c>
      <c r="H11" s="68">
        <v>0.0002142645852452559</v>
      </c>
      <c r="I11" s="66">
        <v>0.0007506692539308329</v>
      </c>
      <c r="J11" s="68">
        <v>0.000375</v>
      </c>
      <c r="K11" s="64">
        <v>0.00016427659232912177</v>
      </c>
      <c r="L11" s="67">
        <v>0.007249606199558755</v>
      </c>
      <c r="M11" s="64">
        <v>0.0016744796309577778</v>
      </c>
      <c r="N11" s="66">
        <v>0.0033499790424459815</v>
      </c>
      <c r="O11" s="66">
        <v>0.006831</v>
      </c>
      <c r="P11" s="80">
        <v>0.01989644079540148</v>
      </c>
      <c r="Q11" s="80">
        <v>0.02986773302171516</v>
      </c>
      <c r="R11" s="80">
        <v>0.013230628143134993</v>
      </c>
      <c r="S11" s="80">
        <v>0.0252383123971684</v>
      </c>
      <c r="T11" s="74">
        <v>0.01445003179006994</v>
      </c>
      <c r="U11" s="74">
        <v>0.017077310297355385</v>
      </c>
      <c r="V11" s="1">
        <f t="shared" si="2"/>
        <v>11</v>
      </c>
    </row>
    <row r="12" spans="1:22" ht="13.5" hidden="1">
      <c r="A12" s="42" t="s">
        <v>9</v>
      </c>
      <c r="B12" s="64">
        <v>0.0006474168771981129</v>
      </c>
      <c r="C12" s="65">
        <v>0.0013140840214803634</v>
      </c>
      <c r="D12" s="65">
        <v>0.001944122436727625</v>
      </c>
      <c r="E12" s="66">
        <v>0.002061855332737803</v>
      </c>
      <c r="F12" s="64">
        <v>0.000415050675882957</v>
      </c>
      <c r="G12" s="65">
        <v>0.00047419794664760475</v>
      </c>
      <c r="H12" s="68">
        <v>0.00018977720407436951</v>
      </c>
      <c r="I12" s="66">
        <v>0.000663975114550234</v>
      </c>
      <c r="J12" s="68">
        <v>0.000332</v>
      </c>
      <c r="K12" s="64">
        <v>0.00014624623463446206</v>
      </c>
      <c r="L12" s="67">
        <v>0.006415891453941079</v>
      </c>
      <c r="M12" s="64">
        <v>0.0014817411107074612</v>
      </c>
      <c r="N12" s="66">
        <v>0.002964502001945348</v>
      </c>
      <c r="O12" s="66">
        <v>0.006112</v>
      </c>
      <c r="P12" s="80">
        <v>0.017573506083248005</v>
      </c>
      <c r="Q12" s="80">
        <v>0.026436979904355985</v>
      </c>
      <c r="R12" s="80">
        <v>0.011715670722165335</v>
      </c>
      <c r="S12" s="80">
        <v>0.022310668159096866</v>
      </c>
      <c r="T12" s="74">
        <v>0.01292900799247767</v>
      </c>
      <c r="U12" s="74">
        <v>0.015279736718382703</v>
      </c>
      <c r="V12" s="1">
        <f t="shared" si="2"/>
        <v>12</v>
      </c>
    </row>
    <row r="13" spans="1:22" ht="13.5" hidden="1">
      <c r="A13" s="42" t="s">
        <v>10</v>
      </c>
      <c r="B13" s="64">
        <v>0.0005734553247169513</v>
      </c>
      <c r="C13" s="65">
        <v>0.00116312140066265</v>
      </c>
      <c r="D13" s="65">
        <v>0.001720302455627852</v>
      </c>
      <c r="E13" s="66">
        <v>0.0018244113512709131</v>
      </c>
      <c r="F13" s="64">
        <v>0.0003671209909529841</v>
      </c>
      <c r="G13" s="65">
        <v>0.000420149578535082</v>
      </c>
      <c r="H13" s="68">
        <v>0.00016835074554984392</v>
      </c>
      <c r="I13" s="66">
        <v>0.0005874802856849997</v>
      </c>
      <c r="J13" s="68">
        <v>0.000294</v>
      </c>
      <c r="K13" s="64">
        <v>0.00012921756347839455</v>
      </c>
      <c r="L13" s="67">
        <v>0.005678490325145663</v>
      </c>
      <c r="M13" s="64">
        <v>0.0013114377621264936</v>
      </c>
      <c r="N13" s="66">
        <v>0.0026238953047834127</v>
      </c>
      <c r="O13" s="66">
        <v>0.00553</v>
      </c>
      <c r="P13" s="80">
        <v>0.015553562855288467</v>
      </c>
      <c r="Q13" s="80">
        <v>0.02340984480080377</v>
      </c>
      <c r="R13" s="80">
        <v>0.010402707623991635</v>
      </c>
      <c r="S13" s="80">
        <v>0.019786836919380026</v>
      </c>
      <c r="T13" s="74">
        <v>0.01169769746776753</v>
      </c>
      <c r="U13" s="74">
        <v>0.01382455155281617</v>
      </c>
      <c r="V13" s="1">
        <f t="shared" si="2"/>
        <v>13</v>
      </c>
    </row>
    <row r="14" spans="1:22" ht="13.5" hidden="1">
      <c r="A14" s="42" t="s">
        <v>11</v>
      </c>
      <c r="B14" s="64">
        <v>0.0005075991478501636</v>
      </c>
      <c r="C14" s="65">
        <v>0.0010293827030254813</v>
      </c>
      <c r="D14" s="65">
        <v>0.001522578077705631</v>
      </c>
      <c r="E14" s="66">
        <v>0.0016150198233106602</v>
      </c>
      <c r="F14" s="64">
        <v>0.00032530998920556086</v>
      </c>
      <c r="G14" s="65">
        <v>0.00037120011307468413</v>
      </c>
      <c r="H14" s="68">
        <v>0.0001485567791033774</v>
      </c>
      <c r="I14" s="66">
        <v>0.0005201648362835935</v>
      </c>
      <c r="J14" s="68">
        <v>0.00026</v>
      </c>
      <c r="K14" s="64">
        <v>0.00011419226539951148</v>
      </c>
      <c r="L14" s="67">
        <v>0.0050253636110697214</v>
      </c>
      <c r="M14" s="64">
        <v>0.0011605102436235998</v>
      </c>
      <c r="N14" s="66">
        <v>0.0023220402677776256</v>
      </c>
      <c r="O14" s="66">
        <v>0.005049</v>
      </c>
      <c r="P14" s="80">
        <v>0.013836611111522857</v>
      </c>
      <c r="Q14" s="80">
        <v>0.02068542320760678</v>
      </c>
      <c r="R14" s="80">
        <v>0.009190741687215911</v>
      </c>
      <c r="S14" s="80">
        <v>0.017464912178840535</v>
      </c>
      <c r="T14" s="74">
        <v>0.010680524161287569</v>
      </c>
      <c r="U14" s="74">
        <v>0.012622437645158037</v>
      </c>
      <c r="V14" s="1">
        <f t="shared" si="2"/>
        <v>14</v>
      </c>
    </row>
    <row r="15" spans="1:22" ht="14.25" hidden="1" thickBot="1">
      <c r="A15" s="43" t="s">
        <v>12</v>
      </c>
      <c r="B15" s="69">
        <v>0.000448835174645953</v>
      </c>
      <c r="C15" s="70">
        <v>0.0009108415846652635</v>
      </c>
      <c r="D15" s="70">
        <v>0.0013469345947798002</v>
      </c>
      <c r="E15" s="71">
        <v>0.00142867138215943</v>
      </c>
      <c r="F15" s="69">
        <v>0.00028757810957983753</v>
      </c>
      <c r="G15" s="70">
        <v>0.000328369330796836</v>
      </c>
      <c r="H15" s="68">
        <v>0.0001316196737935143</v>
      </c>
      <c r="I15" s="71">
        <v>0.0004599889042429425</v>
      </c>
      <c r="J15" s="68">
        <v>0.00023</v>
      </c>
      <c r="K15" s="69">
        <v>0.0001011703403978128</v>
      </c>
      <c r="L15" s="72">
        <v>0.00444748191013617</v>
      </c>
      <c r="M15" s="69">
        <v>0.0010269189941379308</v>
      </c>
      <c r="N15" s="71">
        <v>0.002054857768806287</v>
      </c>
      <c r="O15" s="71">
        <v>0.004645</v>
      </c>
      <c r="P15" s="80">
        <v>0.012220656529155223</v>
      </c>
      <c r="Q15" s="80">
        <v>0.01836461962821675</v>
      </c>
      <c r="R15" s="80">
        <v>0.00818077007323614</v>
      </c>
      <c r="S15" s="80">
        <v>0.015445847187067062</v>
      </c>
      <c r="T15" s="74">
        <v>0.009826095967012905</v>
      </c>
      <c r="U15" s="74">
        <v>0.01161265887010616</v>
      </c>
      <c r="V15" s="1">
        <f>ROW(A15:U15)</f>
        <v>15</v>
      </c>
    </row>
    <row r="16" spans="1:22" ht="15" hidden="1" thickBot="1" thickTop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V16" s="1"/>
    </row>
    <row r="17" spans="1:21" s="1" customFormat="1" ht="69" hidden="1" thickBot="1" thickTop="1">
      <c r="A17" s="3" t="s">
        <v>13</v>
      </c>
      <c r="B17" s="12" t="str">
        <f>B1</f>
        <v>ALSH 
1/2 journée sans repas</v>
      </c>
      <c r="C17" s="12" t="str">
        <f aca="true" t="shared" si="3" ref="C17:S17">C1</f>
        <v>ALSH 
1/2 journée avec repas</v>
      </c>
      <c r="D17" s="12" t="str">
        <f t="shared" si="3"/>
        <v>ALSH 
journée entière
(12h00)</v>
      </c>
      <c r="E17" s="12" t="str">
        <f t="shared" si="3"/>
        <v>ALSH 
journée entière
(12h45 à Angerville)</v>
      </c>
      <c r="F17" s="12" t="str">
        <f t="shared" si="3"/>
        <v>PERISCOLAIRE 
du matin</v>
      </c>
      <c r="G17" s="12" t="str">
        <f t="shared" si="3"/>
        <v>PERISCOLAIRE 
du soir</v>
      </c>
      <c r="H17" s="12" t="str">
        <f>H1</f>
        <v>PERISCOLAIRE 
du soir après études</v>
      </c>
      <c r="I17" s="12" t="str">
        <f t="shared" si="3"/>
        <v>PERISCOLAIRE 
du soir (3h30 à Angerville)</v>
      </c>
      <c r="J17" s="12" t="str">
        <f>J1</f>
        <v>PERISCOLAIRE 
du soir après études à Angerville</v>
      </c>
      <c r="K17" s="12" t="str">
        <f t="shared" si="3"/>
        <v>TRANSPORT 
forfait jour</v>
      </c>
      <c r="L17" s="12" t="str">
        <f t="shared" si="3"/>
        <v>TRANSPORT 
forfait annuel</v>
      </c>
      <c r="M17" s="12" t="str">
        <f t="shared" si="3"/>
        <v>ETUDES DIRIGEES 
forfait 2 jours</v>
      </c>
      <c r="N17" s="12" t="str">
        <f t="shared" si="3"/>
        <v>ETUDES DIRIGEES 
forfait 4 jours</v>
      </c>
      <c r="O17" s="12" t="str">
        <f>+O1</f>
        <v>ECOLE DE NATATION tarif trimestriel</v>
      </c>
      <c r="P17" s="2" t="str">
        <f t="shared" si="3"/>
        <v>CONSERVATOIRE 
formation musicale</v>
      </c>
      <c r="Q17" s="2" t="str">
        <f t="shared" si="3"/>
        <v>CONSERVATOIRE 
formation instrumentale</v>
      </c>
      <c r="R17" s="2" t="str">
        <f t="shared" si="3"/>
        <v>CONSERVATOIRE 
pratiques collectivies</v>
      </c>
      <c r="S17" s="2" t="str">
        <f t="shared" si="3"/>
        <v>CONSERVATOIRE 
location
</v>
      </c>
      <c r="T17" s="2" t="str">
        <f>T1</f>
        <v>Ecoles des arts tarifs enfant</v>
      </c>
      <c r="U17" s="2" t="str">
        <f>U1</f>
        <v>Ecoles des arts tarifs adulte</v>
      </c>
    </row>
    <row r="18" spans="1:22" ht="15" hidden="1" thickBot="1" thickTop="1">
      <c r="A18" s="22" t="s">
        <v>40</v>
      </c>
      <c r="B18" s="93">
        <f aca="true" t="shared" si="4" ref="B18:B27">IF($F$31*B6&lt;$B$2,$B$2,IF($F$31*B6&gt;$B$3,$B$3,$F$31*B6))</f>
        <v>3.7086703221020323</v>
      </c>
      <c r="C18" s="93">
        <f aca="true" t="shared" si="5" ref="C18:C27">IF($F$31*C6&lt;$C$2,$C$2,IF($F$31*C6&gt;$C$3,$C$3,$F$31*C6))</f>
        <v>7.417340644204065</v>
      </c>
      <c r="D18" s="93">
        <f aca="true" t="shared" si="6" ref="D18:D27">IF($F$31*D6&lt;$D$2,$D$2,IF($F$31*D6&gt;$D$3,$D$3,$F$31*D6))</f>
        <v>11.126010966306096</v>
      </c>
      <c r="E18" s="93">
        <f aca="true" t="shared" si="7" ref="E18:E27">IF($F$31*E6&lt;$E$2,$E$2,IF($F$31*E6&gt;$E$3,$E$3,$F$31*E6))</f>
        <v>11.800314661233736</v>
      </c>
      <c r="F18" s="93">
        <f aca="true" t="shared" si="8" ref="F18:F27">IF($F$31*F6&lt;$F$2,$F$2,IF($F$31*F6&gt;$F$3,$F$3,$F$31*F6))</f>
        <v>2.3753238004923283</v>
      </c>
      <c r="G18" s="93">
        <f aca="true" t="shared" si="9" ref="G18:G27">IF($F$31*G6&lt;$G$2,$G$2,IF($F$31*G6&gt;$G$3,$G$3,$F$31*G6))</f>
        <v>2.714655771991233</v>
      </c>
      <c r="H18" s="93">
        <f aca="true" t="shared" si="10" ref="H18:H27">IF($F$31*H6&lt;$H$2,$H$2,IF($F$31*H6&gt;$H$3,$H$3,$F$31*H6))</f>
        <v>1.0858623087964931</v>
      </c>
      <c r="I18" s="93">
        <f aca="true" t="shared" si="11" ref="I18:I27">IF($F$31*I6&lt;$I$2,$I$2,IF($F$31*I6&gt;$I$3,$I$3,$F$31*I6))</f>
        <v>3.800518080787726</v>
      </c>
      <c r="J18" s="93">
        <f aca="true" t="shared" si="12" ref="J18:J27">IF($F$31*J6&lt;$J$2,$J$2,IF($F$31*J6&gt;$J$3,$J$3,$F$31*J6))</f>
        <v>1.90025</v>
      </c>
      <c r="K18" s="93">
        <f aca="true" t="shared" si="13" ref="K18:K27">IF($F$31*K6&lt;$K$2,$K$2,IF($F$31*K6&gt;$K$3,$K$3,$F$31*K6))</f>
        <v>0.8346553082819557</v>
      </c>
      <c r="L18" s="93">
        <f aca="true" t="shared" si="14" ref="L18:L27">IF($F$31*L6&lt;$L$2,$L$2,IF($F$31*L6&gt;$L$3,$L$3,$F$31*L6))</f>
        <v>36.72483356440605</v>
      </c>
      <c r="M18" s="93">
        <f aca="true" t="shared" si="15" ref="M18:M27">IF($F$31*M6&lt;$M$2,$M$2,IF($F$31*M6&gt;$M$3,$M$3,$F$31*M6))</f>
        <v>8.483299287472603</v>
      </c>
      <c r="N18" s="93">
        <f aca="true" t="shared" si="16" ref="N18:N27">IF($F$31*N6&lt;$N$2,$N$2,IF($F$31*N6&gt;$N$3,$N$3,$F$31*N6))</f>
        <v>16.966598574945206</v>
      </c>
      <c r="O18" s="93">
        <f aca="true" t="shared" si="17" ref="O18:O27">IF($F$31*O6&lt;$O$2,$O$2,IF($F$31*O6&gt;$O$3,$O$3,$F$31*O6))</f>
        <v>42.578250000000004</v>
      </c>
      <c r="P18" s="94">
        <f aca="true" t="shared" si="18" ref="P18:P27">IF($F$31*P6&lt;$P$2,$P$2,IF($F$31*P6&gt;$P$3,$P$3,$F$31*P6))</f>
        <v>100.8204163655306</v>
      </c>
      <c r="Q18" s="94">
        <f aca="true" t="shared" si="19" ref="Q18:Q27">IF($F$31*Q6&lt;$Q$2,$Q$2,IF($F$31*Q6&gt;$Q$3,$Q$3,$F$31*Q6))</f>
        <v>151.2306245482959</v>
      </c>
      <c r="R18" s="94">
        <f aca="true" t="shared" si="20" ref="R18:R27">IF($F$31*R6&lt;$R$2,$R$2,IF($F$31*R6&gt;$R$3,$R$3,$F$31*R6))</f>
        <v>67.21361091035374</v>
      </c>
      <c r="S18" s="94">
        <f aca="true" t="shared" si="21" ref="S18:S27">IF($F$31*S6&lt;$S$2,$S$2,IF($F$31*S6&gt;$S$3,$S$3,$F$31*S6))</f>
        <v>127.7058607296721</v>
      </c>
      <c r="T18" s="94">
        <f>IF($F$31*T6&lt;$T$2,$T$2,IF($F$31*T6&gt;$T$3,$T$3,$F$31*T6))</f>
        <v>90.07050808699174</v>
      </c>
      <c r="U18" s="94">
        <f>IF($F$31*U6&lt;$U$2,$U$2,IF($F$31*U6&gt;$U$3,$U$3,$F$31*U6))</f>
        <v>106.44696410280841</v>
      </c>
      <c r="V18" s="1">
        <f>ROW(A18:U18)</f>
        <v>18</v>
      </c>
    </row>
    <row r="19" spans="1:22" ht="15" hidden="1" thickBot="1" thickTop="1">
      <c r="A19" s="39" t="s">
        <v>4</v>
      </c>
      <c r="B19" s="93">
        <f t="shared" si="4"/>
        <v>3.282170537845518</v>
      </c>
      <c r="C19" s="93">
        <f t="shared" si="5"/>
        <v>6.659072653184032</v>
      </c>
      <c r="D19" s="93">
        <f t="shared" si="6"/>
        <v>9.845319056515466</v>
      </c>
      <c r="E19" s="93">
        <f t="shared" si="7"/>
        <v>10.44202488117578</v>
      </c>
      <c r="F19" s="93">
        <f t="shared" si="8"/>
        <v>2.1032973440014717</v>
      </c>
      <c r="G19" s="93">
        <f t="shared" si="9"/>
        <v>2.4033677650790155</v>
      </c>
      <c r="H19" s="93">
        <f t="shared" si="10"/>
        <v>0.9624050953932742</v>
      </c>
      <c r="I19" s="93">
        <f t="shared" si="11"/>
        <v>3.362967659678586</v>
      </c>
      <c r="J19" s="93">
        <f t="shared" si="12"/>
        <v>4.64</v>
      </c>
      <c r="K19" s="93">
        <f t="shared" si="13"/>
        <v>0.7382429789424558</v>
      </c>
      <c r="L19" s="93">
        <f t="shared" si="14"/>
        <v>32.500829343302776</v>
      </c>
      <c r="M19" s="93">
        <f t="shared" si="15"/>
        <v>7.507369319855921</v>
      </c>
      <c r="N19" s="93">
        <f t="shared" si="16"/>
        <v>15.014738639711842</v>
      </c>
      <c r="O19" s="93">
        <f t="shared" si="17"/>
        <v>35.48325</v>
      </c>
      <c r="P19" s="94">
        <f t="shared" si="18"/>
        <v>89.15524422406425</v>
      </c>
      <c r="Q19" s="94">
        <f t="shared" si="19"/>
        <v>133.74891932528186</v>
      </c>
      <c r="R19" s="94">
        <f t="shared" si="20"/>
        <v>59.4368294827095</v>
      </c>
      <c r="S19" s="94">
        <f t="shared" si="21"/>
        <v>112.99192460212294</v>
      </c>
      <c r="T19" s="94">
        <f aca="true" t="shared" si="22" ref="T19:T27">IF($F$31*T7&lt;$T$2,$T$2,IF($F$31*T7&gt;$T$3,$T$3,$F$31*T7))</f>
        <v>75.05830976130217</v>
      </c>
      <c r="U19" s="94">
        <f aca="true" t="shared" si="23" ref="U19:U27">IF($F$31*U7&lt;$U$2,$U$2,IF($F$31*U7&gt;$U$3,$U$3,$F$31*U7))</f>
        <v>88.70527517244803</v>
      </c>
      <c r="V19" s="1">
        <f aca="true" t="shared" si="24" ref="V19:V27">ROW(A19:U19)</f>
        <v>19</v>
      </c>
    </row>
    <row r="20" spans="1:22" ht="15" hidden="1" thickBot="1" thickTop="1">
      <c r="A20" s="39" t="s">
        <v>5</v>
      </c>
      <c r="B20" s="93">
        <f t="shared" si="4"/>
        <v>2.9032442278735395</v>
      </c>
      <c r="C20" s="93">
        <f t="shared" si="5"/>
        <v>5.892861364637753</v>
      </c>
      <c r="D20" s="93">
        <f t="shared" si="6"/>
        <v>8.71367318795047</v>
      </c>
      <c r="E20" s="93">
        <f t="shared" si="7"/>
        <v>9.243533898771698</v>
      </c>
      <c r="F20" s="93">
        <f t="shared" si="8"/>
        <v>1.8593148520973006</v>
      </c>
      <c r="G20" s="93">
        <f t="shared" si="9"/>
        <v>2.125732515670821</v>
      </c>
      <c r="H20" s="93">
        <f t="shared" si="10"/>
        <v>0.8501712650267118</v>
      </c>
      <c r="I20" s="93">
        <f t="shared" si="11"/>
        <v>2.9759038256205</v>
      </c>
      <c r="J20" s="93">
        <f t="shared" si="12"/>
        <v>1.4877500000000001</v>
      </c>
      <c r="K20" s="93">
        <f t="shared" si="13"/>
        <v>0.6528492015274703</v>
      </c>
      <c r="L20" s="93">
        <f t="shared" si="14"/>
        <v>28.76516525749361</v>
      </c>
      <c r="M20" s="93">
        <f t="shared" si="15"/>
        <v>6.643615210585982</v>
      </c>
      <c r="N20" s="93">
        <f t="shared" si="16"/>
        <v>13.290034817630636</v>
      </c>
      <c r="O20" s="93">
        <f t="shared" si="17"/>
        <v>29.031750000000002</v>
      </c>
      <c r="P20" s="94">
        <f t="shared" si="18"/>
        <v>78.8787830518201</v>
      </c>
      <c r="Q20" s="94">
        <f t="shared" si="19"/>
        <v>118.48711317820616</v>
      </c>
      <c r="R20" s="94">
        <f t="shared" si="20"/>
        <v>52.77101683044301</v>
      </c>
      <c r="S20" s="94">
        <f t="shared" si="21"/>
        <v>99.94371709278686</v>
      </c>
      <c r="T20" s="94">
        <f t="shared" si="22"/>
        <v>61.41184304554018</v>
      </c>
      <c r="U20" s="94">
        <f t="shared" si="23"/>
        <v>72.57763269018385</v>
      </c>
      <c r="V20" s="1">
        <f t="shared" si="24"/>
        <v>20</v>
      </c>
    </row>
    <row r="21" spans="1:22" ht="15" hidden="1" thickBot="1" thickTop="1">
      <c r="A21" s="39" t="s">
        <v>6</v>
      </c>
      <c r="B21" s="93">
        <f t="shared" si="4"/>
        <v>2.571683706648059</v>
      </c>
      <c r="C21" s="93">
        <f t="shared" si="5"/>
        <v>5.215809207849585</v>
      </c>
      <c r="D21" s="93">
        <f t="shared" si="6"/>
        <v>7.711752577489265</v>
      </c>
      <c r="E21" s="93">
        <f t="shared" si="7"/>
        <v>8.180045348868308</v>
      </c>
      <c r="F21" s="93">
        <f t="shared" si="8"/>
        <v>1.6461807212384847</v>
      </c>
      <c r="G21" s="93">
        <f t="shared" si="9"/>
        <v>1.8817500237666505</v>
      </c>
      <c r="H21" s="93">
        <f t="shared" si="10"/>
        <v>0.7519666634559695</v>
      </c>
      <c r="I21" s="93">
        <f t="shared" si="11"/>
        <v>2.633716957830018</v>
      </c>
      <c r="J21" s="93">
        <f t="shared" si="12"/>
        <v>1.31725</v>
      </c>
      <c r="K21" s="93">
        <f t="shared" si="13"/>
        <v>0.5784739760369989</v>
      </c>
      <c r="L21" s="93">
        <f t="shared" si="14"/>
        <v>25.457143663043695</v>
      </c>
      <c r="M21" s="93">
        <f t="shared" si="15"/>
        <v>5.880819373828115</v>
      </c>
      <c r="N21" s="93">
        <f t="shared" si="16"/>
        <v>11.761638747656233</v>
      </c>
      <c r="O21" s="93">
        <f t="shared" si="17"/>
        <v>24.56575</v>
      </c>
      <c r="P21" s="94">
        <f t="shared" si="18"/>
        <v>69.9910328487981</v>
      </c>
      <c r="Q21" s="94">
        <f t="shared" si="19"/>
        <v>104.89023133808415</v>
      </c>
      <c r="R21" s="94">
        <f t="shared" si="20"/>
        <v>46.6606885658654</v>
      </c>
      <c r="S21" s="94">
        <f t="shared" si="21"/>
        <v>88.56123820166391</v>
      </c>
      <c r="T21" s="94">
        <f t="shared" si="22"/>
        <v>51.96415933156054</v>
      </c>
      <c r="U21" s="94">
        <f t="shared" si="23"/>
        <v>61.412188300935185</v>
      </c>
      <c r="V21" s="1">
        <f t="shared" si="24"/>
        <v>21</v>
      </c>
    </row>
    <row r="22" spans="1:22" ht="15" hidden="1" thickBot="1" thickTop="1">
      <c r="A22" s="39" t="s">
        <v>7</v>
      </c>
      <c r="B22" s="93">
        <f t="shared" si="4"/>
        <v>2.27355785983187</v>
      </c>
      <c r="C22" s="93">
        <f t="shared" si="5"/>
        <v>4.613985068482325</v>
      </c>
      <c r="D22" s="93">
        <f t="shared" si="6"/>
        <v>6.82575666575911</v>
      </c>
      <c r="E22" s="93">
        <f t="shared" si="7"/>
        <v>7.23778347304717</v>
      </c>
      <c r="F22" s="93">
        <f t="shared" si="8"/>
        <v>1.4582861585076867</v>
      </c>
      <c r="G22" s="93">
        <f t="shared" si="9"/>
        <v>1.6658114964491662</v>
      </c>
      <c r="H22" s="93">
        <f t="shared" si="10"/>
        <v>0.6677912906810476</v>
      </c>
      <c r="I22" s="93">
        <f t="shared" si="11"/>
        <v>2.33079743552369</v>
      </c>
      <c r="J22" s="93">
        <f t="shared" si="12"/>
        <v>1.166</v>
      </c>
      <c r="K22" s="93">
        <f t="shared" si="13"/>
        <v>0.5123626644899133</v>
      </c>
      <c r="L22" s="93">
        <f t="shared" si="14"/>
        <v>22.529861835094266</v>
      </c>
      <c r="M22" s="93">
        <f t="shared" si="15"/>
        <v>5.204959827288976</v>
      </c>
      <c r="N22" s="93">
        <f t="shared" si="16"/>
        <v>10.407115258119283</v>
      </c>
      <c r="O22" s="93">
        <f t="shared" si="17"/>
        <v>21.290499999999998</v>
      </c>
      <c r="P22" s="94">
        <f t="shared" si="18"/>
        <v>61.93650922730943</v>
      </c>
      <c r="Q22" s="94">
        <f t="shared" si="19"/>
        <v>92.68078642042356</v>
      </c>
      <c r="R22" s="94">
        <f t="shared" si="20"/>
        <v>41.10584468897666</v>
      </c>
      <c r="S22" s="94">
        <f t="shared" si="21"/>
        <v>78.28924505601638</v>
      </c>
      <c r="T22" s="94">
        <f t="shared" si="22"/>
        <v>45.035790426507546</v>
      </c>
      <c r="U22" s="94">
        <f t="shared" si="23"/>
        <v>53.22411595859983</v>
      </c>
      <c r="V22" s="1">
        <f t="shared" si="24"/>
        <v>22</v>
      </c>
    </row>
    <row r="23" spans="1:22" ht="15" hidden="1" thickBot="1" thickTop="1">
      <c r="A23" s="39" t="s">
        <v>8</v>
      </c>
      <c r="B23" s="93">
        <f t="shared" si="4"/>
        <v>2.014439133159856</v>
      </c>
      <c r="C23" s="93">
        <f t="shared" si="5"/>
        <v>4.084602723668532</v>
      </c>
      <c r="D23" s="93">
        <f t="shared" si="6"/>
        <v>6.03912478151271</v>
      </c>
      <c r="E23" s="93">
        <f t="shared" si="7"/>
        <v>6.405727664573531</v>
      </c>
      <c r="F23" s="93">
        <f t="shared" si="8"/>
        <v>1.2900223709875691</v>
      </c>
      <c r="G23" s="93">
        <f t="shared" si="9"/>
        <v>1.4751125372596994</v>
      </c>
      <c r="H23" s="93">
        <f t="shared" si="10"/>
        <v>0.5892276094244537</v>
      </c>
      <c r="I23" s="93">
        <f t="shared" si="11"/>
        <v>2.0643404483097902</v>
      </c>
      <c r="J23" s="93">
        <f t="shared" si="12"/>
        <v>1.03125</v>
      </c>
      <c r="K23" s="93">
        <f t="shared" si="13"/>
        <v>0.4517606289050849</v>
      </c>
      <c r="L23" s="93">
        <f t="shared" si="14"/>
        <v>19.936417048786577</v>
      </c>
      <c r="M23" s="93">
        <f t="shared" si="15"/>
        <v>4.604818985133889</v>
      </c>
      <c r="N23" s="93">
        <f t="shared" si="16"/>
        <v>9.21244236672645</v>
      </c>
      <c r="O23" s="93">
        <f t="shared" si="17"/>
        <v>18.78525</v>
      </c>
      <c r="P23" s="94">
        <f t="shared" si="18"/>
        <v>54.71521218735407</v>
      </c>
      <c r="Q23" s="94">
        <f t="shared" si="19"/>
        <v>82.13626580971669</v>
      </c>
      <c r="R23" s="94">
        <f t="shared" si="20"/>
        <v>36.38422739362123</v>
      </c>
      <c r="S23" s="94">
        <f t="shared" si="21"/>
        <v>69.4053590922131</v>
      </c>
      <c r="T23" s="94">
        <f t="shared" si="22"/>
        <v>39.737587422692336</v>
      </c>
      <c r="U23" s="94">
        <f t="shared" si="23"/>
        <v>46.96260331772731</v>
      </c>
      <c r="V23" s="1">
        <f t="shared" si="24"/>
        <v>23</v>
      </c>
    </row>
    <row r="24" spans="1:22" ht="15" hidden="1" thickBot="1" thickTop="1">
      <c r="A24" s="39" t="s">
        <v>9</v>
      </c>
      <c r="B24" s="93">
        <f t="shared" si="4"/>
        <v>1.7803964122948106</v>
      </c>
      <c r="C24" s="93">
        <f t="shared" si="5"/>
        <v>3.6137310590709992</v>
      </c>
      <c r="D24" s="93">
        <f t="shared" si="6"/>
        <v>5.346336701000968</v>
      </c>
      <c r="E24" s="93">
        <f t="shared" si="7"/>
        <v>5.6701021650289585</v>
      </c>
      <c r="F24" s="93">
        <f t="shared" si="8"/>
        <v>1.1413893586781318</v>
      </c>
      <c r="G24" s="93">
        <f t="shared" si="9"/>
        <v>1.304044353280913</v>
      </c>
      <c r="H24" s="93">
        <f t="shared" si="10"/>
        <v>0.5218873112045161</v>
      </c>
      <c r="I24" s="93">
        <f t="shared" si="11"/>
        <v>1.8259315650131436</v>
      </c>
      <c r="J24" s="93">
        <f t="shared" si="12"/>
        <v>0.913</v>
      </c>
      <c r="K24" s="93">
        <f t="shared" si="13"/>
        <v>0.40217714524477066</v>
      </c>
      <c r="L24" s="93">
        <f t="shared" si="14"/>
        <v>17.64370149833797</v>
      </c>
      <c r="M24" s="93">
        <f t="shared" si="15"/>
        <v>4.074788054445518</v>
      </c>
      <c r="N24" s="93">
        <f t="shared" si="16"/>
        <v>8.152380505349706</v>
      </c>
      <c r="O24" s="93">
        <f t="shared" si="17"/>
        <v>16.808</v>
      </c>
      <c r="P24" s="94">
        <f t="shared" si="18"/>
        <v>48.32714172893201</v>
      </c>
      <c r="Q24" s="94">
        <f t="shared" si="19"/>
        <v>72.70169473697896</v>
      </c>
      <c r="R24" s="94">
        <f t="shared" si="20"/>
        <v>32.21809448595467</v>
      </c>
      <c r="S24" s="94">
        <f t="shared" si="21"/>
        <v>61.354337437516385</v>
      </c>
      <c r="T24" s="94">
        <f t="shared" si="22"/>
        <v>35.55477197931359</v>
      </c>
      <c r="U24" s="94">
        <f t="shared" si="23"/>
        <v>42.01927597555243</v>
      </c>
      <c r="V24" s="1">
        <f t="shared" si="24"/>
        <v>24</v>
      </c>
    </row>
    <row r="25" spans="1:22" ht="15" hidden="1" thickBot="1" thickTop="1">
      <c r="A25" s="39" t="s">
        <v>10</v>
      </c>
      <c r="B25" s="93">
        <f t="shared" si="4"/>
        <v>1.5770021429716161</v>
      </c>
      <c r="C25" s="93">
        <f t="shared" si="5"/>
        <v>3.1985838518222875</v>
      </c>
      <c r="D25" s="93">
        <f t="shared" si="6"/>
        <v>4.730831752976593</v>
      </c>
      <c r="E25" s="93">
        <f t="shared" si="7"/>
        <v>5.017131215995011</v>
      </c>
      <c r="F25" s="93">
        <f t="shared" si="8"/>
        <v>1.0095827251207061</v>
      </c>
      <c r="G25" s="93">
        <f t="shared" si="9"/>
        <v>1.1554113409714755</v>
      </c>
      <c r="H25" s="93">
        <f t="shared" si="10"/>
        <v>0.4629645502620708</v>
      </c>
      <c r="I25" s="93">
        <f t="shared" si="11"/>
        <v>1.6155707856337491</v>
      </c>
      <c r="J25" s="93">
        <f t="shared" si="12"/>
        <v>0.8085</v>
      </c>
      <c r="K25" s="93">
        <f t="shared" si="13"/>
        <v>0.355348299565585</v>
      </c>
      <c r="L25" s="93">
        <f t="shared" si="14"/>
        <v>15.615848394150571</v>
      </c>
      <c r="M25" s="93">
        <f t="shared" si="15"/>
        <v>3.606453845847857</v>
      </c>
      <c r="N25" s="93">
        <f t="shared" si="16"/>
        <v>7.215712088154385</v>
      </c>
      <c r="O25" s="93">
        <f t="shared" si="17"/>
        <v>15.207500000000001</v>
      </c>
      <c r="P25" s="94">
        <f t="shared" si="18"/>
        <v>42.77229785204328</v>
      </c>
      <c r="Q25" s="94">
        <f t="shared" si="19"/>
        <v>64.37707320221037</v>
      </c>
      <c r="R25" s="94">
        <f t="shared" si="20"/>
        <v>28.607445965976996</v>
      </c>
      <c r="S25" s="94">
        <f t="shared" si="21"/>
        <v>54.41380152829507</v>
      </c>
      <c r="T25" s="94">
        <f t="shared" si="22"/>
        <v>32.16866803636071</v>
      </c>
      <c r="U25" s="94">
        <f t="shared" si="23"/>
        <v>38.01751677024447</v>
      </c>
      <c r="V25" s="1">
        <f t="shared" si="24"/>
        <v>25</v>
      </c>
    </row>
    <row r="26" spans="1:22" ht="15" hidden="1" thickBot="1" thickTop="1">
      <c r="A26" s="39" t="s">
        <v>11</v>
      </c>
      <c r="B26" s="93">
        <f t="shared" si="4"/>
        <v>1.39589765658795</v>
      </c>
      <c r="C26" s="93">
        <f t="shared" si="5"/>
        <v>2.8308024333200734</v>
      </c>
      <c r="D26" s="93">
        <f t="shared" si="6"/>
        <v>4.187089713690485</v>
      </c>
      <c r="E26" s="93">
        <f t="shared" si="7"/>
        <v>4.441304514104315</v>
      </c>
      <c r="F26" s="93">
        <f t="shared" si="8"/>
        <v>0.8946024703152924</v>
      </c>
      <c r="G26" s="93">
        <f t="shared" si="9"/>
        <v>1.0208003109553814</v>
      </c>
      <c r="H26" s="93">
        <f t="shared" si="10"/>
        <v>0.40853114253428785</v>
      </c>
      <c r="I26" s="93">
        <f t="shared" si="11"/>
        <v>1.4304532997798822</v>
      </c>
      <c r="J26" s="93">
        <f t="shared" si="12"/>
        <v>0.715</v>
      </c>
      <c r="K26" s="93">
        <f t="shared" si="13"/>
        <v>0.3140287298486566</v>
      </c>
      <c r="L26" s="93">
        <f t="shared" si="14"/>
        <v>13.819749930441734</v>
      </c>
      <c r="M26" s="93">
        <f t="shared" si="15"/>
        <v>3.1914031699648997</v>
      </c>
      <c r="N26" s="93">
        <f t="shared" si="16"/>
        <v>6.385610736388471</v>
      </c>
      <c r="O26" s="93">
        <f t="shared" si="17"/>
        <v>13.884749999999999</v>
      </c>
      <c r="P26" s="94">
        <f t="shared" si="18"/>
        <v>38.05068055668786</v>
      </c>
      <c r="Q26" s="94">
        <f t="shared" si="19"/>
        <v>56.88491382091865</v>
      </c>
      <c r="R26" s="94">
        <f t="shared" si="20"/>
        <v>25.274539639843756</v>
      </c>
      <c r="S26" s="94">
        <f t="shared" si="21"/>
        <v>48.02850849181147</v>
      </c>
      <c r="T26" s="94">
        <f t="shared" si="22"/>
        <v>29.371441443540814</v>
      </c>
      <c r="U26" s="94">
        <f t="shared" si="23"/>
        <v>34.7117035241846</v>
      </c>
      <c r="V26" s="1">
        <f t="shared" si="24"/>
        <v>26</v>
      </c>
    </row>
    <row r="27" spans="1:22" ht="15" hidden="1" thickBot="1" thickTop="1">
      <c r="A27" s="44" t="s">
        <v>12</v>
      </c>
      <c r="B27" s="93">
        <f t="shared" si="4"/>
        <v>1.2342967302763708</v>
      </c>
      <c r="C27" s="93">
        <f t="shared" si="5"/>
        <v>2.5048143578294746</v>
      </c>
      <c r="D27" s="93">
        <f t="shared" si="6"/>
        <v>3.7040701356444505</v>
      </c>
      <c r="E27" s="93">
        <f t="shared" si="7"/>
        <v>3.9288463009384325</v>
      </c>
      <c r="F27" s="93">
        <f t="shared" si="8"/>
        <v>0.7908398013445532</v>
      </c>
      <c r="G27" s="93">
        <f t="shared" si="9"/>
        <v>0.903015659691299</v>
      </c>
      <c r="H27" s="93">
        <f t="shared" si="10"/>
        <v>0.36195410293216435</v>
      </c>
      <c r="I27" s="93">
        <f t="shared" si="11"/>
        <v>1.2649694866680918</v>
      </c>
      <c r="J27" s="93">
        <f t="shared" si="12"/>
        <v>0.6325000000000001</v>
      </c>
      <c r="K27" s="93">
        <f t="shared" si="13"/>
        <v>0.27821843609398517</v>
      </c>
      <c r="L27" s="93">
        <f t="shared" si="14"/>
        <v>12.230575252874468</v>
      </c>
      <c r="M27" s="93">
        <f t="shared" si="15"/>
        <v>2.8240272338793098</v>
      </c>
      <c r="N27" s="93">
        <f t="shared" si="16"/>
        <v>5.650858864217289</v>
      </c>
      <c r="O27" s="93">
        <f t="shared" si="17"/>
        <v>13</v>
      </c>
      <c r="P27" s="94">
        <f t="shared" si="18"/>
        <v>33.60680545517686</v>
      </c>
      <c r="Q27" s="94">
        <f t="shared" si="19"/>
        <v>50.50270397759607</v>
      </c>
      <c r="R27" s="94">
        <f t="shared" si="20"/>
        <v>22.497117701399386</v>
      </c>
      <c r="S27" s="94">
        <f t="shared" si="21"/>
        <v>42.476079764434424</v>
      </c>
      <c r="T27" s="94">
        <f t="shared" si="22"/>
        <v>27.5</v>
      </c>
      <c r="U27" s="94">
        <f t="shared" si="23"/>
        <v>32.5</v>
      </c>
      <c r="V27" s="1">
        <f t="shared" si="24"/>
        <v>27</v>
      </c>
    </row>
    <row r="28" spans="1:22" ht="13.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  <c r="Q28" s="47"/>
      <c r="R28" s="47"/>
      <c r="S28" s="47"/>
      <c r="T28" s="47"/>
      <c r="U28" s="47"/>
      <c r="V28" s="1"/>
    </row>
    <row r="29" spans="1:15" ht="15" thickBo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5.75" thickBot="1">
      <c r="A30" s="41"/>
      <c r="B30" s="41"/>
      <c r="C30" s="41"/>
      <c r="D30" s="114" t="s">
        <v>41</v>
      </c>
      <c r="E30" s="114"/>
      <c r="F30" s="16">
        <v>33000</v>
      </c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5.75" thickBot="1">
      <c r="A31" s="41"/>
      <c r="B31" s="41"/>
      <c r="C31" s="41"/>
      <c r="D31" s="105" t="s">
        <v>30</v>
      </c>
      <c r="E31" s="105"/>
      <c r="F31" s="48">
        <f>F30/12</f>
        <v>2750</v>
      </c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43.5" thickBot="1">
      <c r="A32" s="41"/>
      <c r="B32" s="41"/>
      <c r="C32" s="41"/>
      <c r="D32" s="105" t="s">
        <v>51</v>
      </c>
      <c r="E32" s="106"/>
      <c r="F32" s="24" t="s">
        <v>40</v>
      </c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5.75" thickBot="1">
      <c r="A33" s="41"/>
      <c r="B33" s="41"/>
      <c r="C33" s="41"/>
      <c r="D33" s="105" t="s">
        <v>52</v>
      </c>
      <c r="E33" s="106"/>
      <c r="F33" s="49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15">
      <c r="A34" s="13" t="str">
        <f>B17</f>
        <v>ALSH 
1/2 journée sans repas</v>
      </c>
      <c r="B34" s="41"/>
      <c r="C34" s="41"/>
      <c r="D34" s="41"/>
      <c r="E34" s="25" t="s">
        <v>35</v>
      </c>
      <c r="F34" s="41"/>
      <c r="G34" s="13" t="e">
        <f>#VALUE!</f>
        <v>#VALUE!</v>
      </c>
      <c r="H34" s="13"/>
      <c r="I34" s="26" t="e">
        <f>INDEX($A$18:$S$27,MATCH($F$32,$A$18:$A$27,0),$G$34)</f>
        <v>#VALUE!</v>
      </c>
      <c r="J34" s="26"/>
      <c r="K34" s="41"/>
      <c r="L34" s="41"/>
      <c r="M34" s="41"/>
      <c r="N34" s="41"/>
      <c r="O34" s="41"/>
    </row>
    <row r="35" spans="1:15" ht="14.25">
      <c r="A35" s="13"/>
      <c r="B35" s="41"/>
      <c r="C35" s="41"/>
      <c r="D35" s="41"/>
      <c r="E35" s="45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4.25">
      <c r="A36" s="13"/>
      <c r="B36" s="41"/>
      <c r="C36" s="41"/>
      <c r="D36" s="41"/>
      <c r="E36" s="45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4.25">
      <c r="A37" s="13"/>
      <c r="B37" s="41"/>
      <c r="C37" s="41"/>
      <c r="D37" s="41"/>
      <c r="E37" s="45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4.25">
      <c r="A38" s="13"/>
      <c r="B38" s="41"/>
      <c r="C38" s="41"/>
      <c r="D38" s="41"/>
      <c r="E38" s="45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14.25">
      <c r="A39" s="13"/>
      <c r="B39" s="41"/>
      <c r="C39" s="41"/>
      <c r="D39" s="41"/>
      <c r="E39" s="45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4.25">
      <c r="A40" s="50"/>
      <c r="B40" s="41"/>
      <c r="C40" s="41"/>
      <c r="D40" s="41"/>
      <c r="E40" s="45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4.25">
      <c r="A41" s="50"/>
      <c r="B41" s="41"/>
      <c r="C41" s="41"/>
      <c r="D41" s="41"/>
      <c r="E41" s="45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3.5">
      <c r="A42" s="50"/>
      <c r="B42" s="13"/>
      <c r="C42" s="13"/>
      <c r="D42" s="41"/>
      <c r="E42" s="45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2:15" ht="13.5">
      <c r="B43" s="13"/>
      <c r="C43" s="13"/>
      <c r="D43" s="41"/>
      <c r="E43" s="41"/>
      <c r="F43" s="14" t="s">
        <v>31</v>
      </c>
      <c r="G43" s="14" t="s">
        <v>32</v>
      </c>
      <c r="H43" s="14"/>
      <c r="I43" s="14" t="s">
        <v>33</v>
      </c>
      <c r="J43" s="14"/>
      <c r="K43" s="14" t="s">
        <v>34</v>
      </c>
      <c r="L43" s="41"/>
      <c r="M43" s="41"/>
      <c r="N43" s="41"/>
      <c r="O43" s="41"/>
    </row>
    <row r="44" spans="1:19" ht="15">
      <c r="A44" s="51" t="str">
        <f>B17</f>
        <v>ALSH 
1/2 journée sans repas</v>
      </c>
      <c r="B44" s="13"/>
      <c r="C44" s="104"/>
      <c r="D44" s="107" t="str">
        <f aca="true" t="shared" si="25" ref="D44:D56">A44</f>
        <v>ALSH 
1/2 journée sans repas</v>
      </c>
      <c r="E44" s="108"/>
      <c r="F44" s="15">
        <f>INDEX($A$6:$U$15,MATCH($S$45,$A$6:$A$15,0),2)</f>
        <v>0.0013486073898552845</v>
      </c>
      <c r="G44" s="96">
        <f>$B$2</f>
        <v>1.13</v>
      </c>
      <c r="H44" s="97"/>
      <c r="I44" s="95">
        <f>$B$3</f>
        <v>9.06</v>
      </c>
      <c r="J44" s="95"/>
      <c r="K44" s="98">
        <f>INDEX($A$18:$S$27,MATCH($S$45,$A$18:$A$27,0),2)</f>
        <v>3.7086703221020323</v>
      </c>
      <c r="L44" s="41"/>
      <c r="M44" s="41"/>
      <c r="N44" s="41"/>
      <c r="O44" s="41"/>
      <c r="P44" s="38" t="s">
        <v>36</v>
      </c>
      <c r="Q44" s="38" t="s">
        <v>37</v>
      </c>
      <c r="R44" s="38" t="s">
        <v>38</v>
      </c>
      <c r="S44" s="38" t="s">
        <v>39</v>
      </c>
    </row>
    <row r="45" spans="1:19" ht="15">
      <c r="A45" s="13" t="str">
        <f>C17</f>
        <v>ALSH 
1/2 journée avec repas</v>
      </c>
      <c r="B45" s="13"/>
      <c r="C45" s="104"/>
      <c r="D45" s="107" t="str">
        <f t="shared" si="25"/>
        <v>ALSH 
1/2 journée avec repas</v>
      </c>
      <c r="E45" s="108"/>
      <c r="F45" s="15">
        <f>INDEX($A$6:$U$15,MATCH($S$45,$A$6:$A$15,0),3)</f>
        <v>0.002697214779710569</v>
      </c>
      <c r="G45" s="95">
        <f>$C$2</f>
        <v>2.26</v>
      </c>
      <c r="H45" s="95"/>
      <c r="I45" s="95">
        <f>$C$3</f>
        <v>18.12</v>
      </c>
      <c r="J45" s="95"/>
      <c r="K45" s="98">
        <f>INDEX($A$18:$S$27,MATCH($S$45,$A$18:$A$27,0),3)</f>
        <v>7.417340644204065</v>
      </c>
      <c r="L45" s="41"/>
      <c r="M45" s="41"/>
      <c r="N45" s="41"/>
      <c r="O45" s="41"/>
      <c r="P45" s="38" t="str">
        <f>LEFT(F32,2)</f>
        <v>1 </v>
      </c>
      <c r="Q45" s="38">
        <f>F33</f>
        <v>0</v>
      </c>
      <c r="R45" s="38">
        <f>P45+Q45</f>
        <v>1</v>
      </c>
      <c r="S45" s="38" t="str">
        <f>IF(R45&gt;10,"10 enfants et plus",IF(R45=1,"1 enfant ou tarif adulte du conservatoire",LEFT(R45)&amp;" enfants"))</f>
        <v>1 enfant ou tarif adulte du conservatoire</v>
      </c>
    </row>
    <row r="46" spans="1:15" ht="15">
      <c r="A46" s="13" t="str">
        <f>D17</f>
        <v>ALSH 
journée entière
(12h00)</v>
      </c>
      <c r="B46" s="13"/>
      <c r="C46" s="104"/>
      <c r="D46" s="107" t="str">
        <f t="shared" si="25"/>
        <v>ALSH 
journée entière
(12h00)</v>
      </c>
      <c r="E46" s="108"/>
      <c r="F46" s="15">
        <f>INDEX($A$6:$U$15,MATCH($S$45,$A$6:$A$15,0),4)</f>
        <v>0.004045822169565853</v>
      </c>
      <c r="G46" s="95">
        <f>$D$2</f>
        <v>3.4</v>
      </c>
      <c r="H46" s="95"/>
      <c r="I46" s="95">
        <f>$D$3</f>
        <v>27.18</v>
      </c>
      <c r="J46" s="95"/>
      <c r="K46" s="98">
        <f>INDEX($A$18:$S$27,MATCH($S$45,$A$18:$A$27,0),4)</f>
        <v>11.126010966306096</v>
      </c>
      <c r="L46" s="41"/>
      <c r="M46" s="41"/>
      <c r="N46" s="41"/>
      <c r="O46" s="41"/>
    </row>
    <row r="47" spans="1:15" ht="15">
      <c r="A47" s="13" t="str">
        <f>E17</f>
        <v>ALSH 
journée entière
(12h45 à Angerville)</v>
      </c>
      <c r="B47" s="13"/>
      <c r="C47" s="104"/>
      <c r="D47" s="107" t="str">
        <f t="shared" si="25"/>
        <v>ALSH 
journée entière
(12h45 à Angerville)</v>
      </c>
      <c r="E47" s="108"/>
      <c r="F47" s="15">
        <f>INDEX($A$6:$U$15,MATCH($S$45,$A$6:$A$15,0),5)</f>
        <v>0.004291023513175904</v>
      </c>
      <c r="G47" s="95">
        <f>$E$2</f>
        <v>3.6</v>
      </c>
      <c r="H47" s="95"/>
      <c r="I47" s="95">
        <f>$E3</f>
        <v>28.82</v>
      </c>
      <c r="J47" s="95"/>
      <c r="K47" s="98">
        <f>INDEX($A$18:$S$27,MATCH($S$45,$A$18:$A$27,0),5)</f>
        <v>11.800314661233736</v>
      </c>
      <c r="L47" s="41"/>
      <c r="M47" s="13">
        <v>1</v>
      </c>
      <c r="N47" s="41"/>
      <c r="O47" s="41"/>
    </row>
    <row r="48" spans="1:15" ht="15">
      <c r="A48" s="13" t="str">
        <f>F17</f>
        <v>PERISCOLAIRE 
du matin</v>
      </c>
      <c r="B48" s="13"/>
      <c r="C48" s="104"/>
      <c r="D48" s="107" t="str">
        <f t="shared" si="25"/>
        <v>PERISCOLAIRE 
du matin</v>
      </c>
      <c r="E48" s="108"/>
      <c r="F48" s="15">
        <f>INDEX($A$6:$U$15,MATCH($S$45,$A$6:$A$15,0),6)</f>
        <v>0.0008637541092699376</v>
      </c>
      <c r="G48" s="95">
        <f>$F$2</f>
        <v>0.73</v>
      </c>
      <c r="H48" s="95"/>
      <c r="I48" s="95">
        <f>F$3</f>
        <v>5.8</v>
      </c>
      <c r="J48" s="95"/>
      <c r="K48" s="98">
        <f>INDEX($A$18:$S$27,MATCH($S$45,$A$18:$A$27,0),6)</f>
        <v>2.3753238004923283</v>
      </c>
      <c r="L48" s="41"/>
      <c r="M48" s="13">
        <v>2</v>
      </c>
      <c r="N48" s="41"/>
      <c r="O48" s="41"/>
    </row>
    <row r="49" spans="1:15" ht="15">
      <c r="A49" s="13" t="str">
        <f>G17</f>
        <v>PERISCOLAIRE 
du soir</v>
      </c>
      <c r="C49" s="104"/>
      <c r="D49" s="107" t="str">
        <f t="shared" si="25"/>
        <v>PERISCOLAIRE 
du soir</v>
      </c>
      <c r="E49" s="108"/>
      <c r="F49" s="15">
        <f>INDEX($A$6:$U$15,MATCH($S$45,$A$6:$A$15,0),7)</f>
        <v>0.0009871475534513575</v>
      </c>
      <c r="G49" s="95">
        <f>$G$2</f>
        <v>0.83</v>
      </c>
      <c r="H49" s="95"/>
      <c r="I49" s="95">
        <f>G$3</f>
        <v>6.63</v>
      </c>
      <c r="J49" s="95"/>
      <c r="K49" s="98">
        <f>INDEX($A$18:$S$27,MATCH($S$45,$A$18:$A$27,0),7)</f>
        <v>2.714655771991233</v>
      </c>
      <c r="L49" s="41"/>
      <c r="M49" s="13">
        <v>3</v>
      </c>
      <c r="N49" s="41"/>
      <c r="O49" s="41"/>
    </row>
    <row r="50" spans="1:15" ht="15">
      <c r="A50" s="13" t="str">
        <f>H17</f>
        <v>PERISCOLAIRE 
du soir après études</v>
      </c>
      <c r="B50" s="13"/>
      <c r="C50" s="104"/>
      <c r="D50" s="107" t="str">
        <f>A50</f>
        <v>PERISCOLAIRE 
du soir après études</v>
      </c>
      <c r="E50" s="108"/>
      <c r="F50" s="15">
        <f>INDEX($A$6:$U$15,MATCH($S$45,$A$6:$A$15,0),8)</f>
        <v>0.00039485902138054296</v>
      </c>
      <c r="G50" s="95">
        <f>$H$2</f>
        <v>0.3315315315315315</v>
      </c>
      <c r="H50" s="95"/>
      <c r="I50" s="95">
        <f>H$3</f>
        <v>2.652252252252252</v>
      </c>
      <c r="J50" s="95"/>
      <c r="K50" s="98">
        <f>INDEX($A$18:$S$27,MATCH($S$45,$A$18:$A$27,0),8)</f>
        <v>1.0858623087964931</v>
      </c>
      <c r="L50" s="41"/>
      <c r="M50" s="13"/>
      <c r="N50" s="41"/>
      <c r="O50" s="41"/>
    </row>
    <row r="51" spans="1:15" ht="15">
      <c r="A51" s="13" t="str">
        <f>I17</f>
        <v>PERISCOLAIRE 
du soir (3h30 à Angerville)</v>
      </c>
      <c r="B51" s="13"/>
      <c r="C51" s="104"/>
      <c r="D51" s="107" t="str">
        <f t="shared" si="25"/>
        <v>PERISCOLAIRE 
du soir (3h30 à Angerville)</v>
      </c>
      <c r="E51" s="108"/>
      <c r="F51" s="15">
        <f>INDEX($A$6:$U$15,MATCH($S$45,$A$6:$A$15,0),9)</f>
        <v>0.0013820065748319005</v>
      </c>
      <c r="G51" s="95">
        <f>$I$2</f>
        <v>1.16</v>
      </c>
      <c r="H51" s="95"/>
      <c r="I51" s="95">
        <f>$I3</f>
        <v>9.28</v>
      </c>
      <c r="J51" s="95"/>
      <c r="K51" s="98">
        <f>INDEX($A$18:$S$27,MATCH($S$45,$A$18:$A$27,0),9)</f>
        <v>3.800518080787726</v>
      </c>
      <c r="L51" s="41"/>
      <c r="M51" s="41"/>
      <c r="N51" s="41"/>
      <c r="O51" s="41"/>
    </row>
    <row r="52" spans="1:15" ht="15">
      <c r="A52" s="51" t="str">
        <f>J17</f>
        <v>PERISCOLAIRE 
du soir après études à Angerville</v>
      </c>
      <c r="B52" s="13"/>
      <c r="C52" s="104"/>
      <c r="D52" s="107" t="str">
        <f t="shared" si="25"/>
        <v>PERISCOLAIRE 
du soir après études à Angerville</v>
      </c>
      <c r="E52" s="108"/>
      <c r="F52" s="15">
        <f>INDEX($A$6:$U$15,MATCH($S$45,$A$6:$A$15,0),10)</f>
        <v>0.000691</v>
      </c>
      <c r="G52" s="95">
        <f>J2</f>
        <v>0.58</v>
      </c>
      <c r="H52" s="95"/>
      <c r="I52" s="95">
        <f>$J3</f>
        <v>4.64</v>
      </c>
      <c r="J52" s="95"/>
      <c r="K52" s="98">
        <f>INDEX($A$18:$S$27,MATCH($S$45,$A$18:$A$27,0),10)</f>
        <v>1.90025</v>
      </c>
      <c r="L52" s="41"/>
      <c r="M52" s="41"/>
      <c r="N52" s="41"/>
      <c r="O52" s="41"/>
    </row>
    <row r="53" spans="1:15" ht="15">
      <c r="A53" s="13" t="str">
        <f>K17</f>
        <v>TRANSPORT 
forfait jour</v>
      </c>
      <c r="B53" s="13"/>
      <c r="C53" s="104"/>
      <c r="D53" s="107" t="str">
        <f t="shared" si="25"/>
        <v>TRANSPORT 
forfait jour</v>
      </c>
      <c r="E53" s="108"/>
      <c r="F53" s="15">
        <f>INDEX($A$6:$U$15,MATCH($S$45,$A$6:$A$15,0),11)</f>
        <v>0.0003035110211934384</v>
      </c>
      <c r="G53" s="95">
        <f>$K$2</f>
        <v>0.25</v>
      </c>
      <c r="H53" s="95"/>
      <c r="I53" s="95">
        <f>$K$3</f>
        <v>2.04</v>
      </c>
      <c r="J53" s="95"/>
      <c r="K53" s="98">
        <f>INDEX($A$18:$S$27,MATCH($S$45,$A$18:$A$27,0),11)</f>
        <v>0.8346553082819557</v>
      </c>
      <c r="L53" s="41"/>
      <c r="M53" s="41"/>
      <c r="N53" s="41"/>
      <c r="O53" s="41"/>
    </row>
    <row r="54" spans="1:15" ht="15">
      <c r="A54" s="13" t="str">
        <f>L17</f>
        <v>TRANSPORT 
forfait annuel</v>
      </c>
      <c r="B54" s="13"/>
      <c r="C54" s="104"/>
      <c r="D54" s="107" t="str">
        <f t="shared" si="25"/>
        <v>TRANSPORT 
forfait annuel</v>
      </c>
      <c r="E54" s="108"/>
      <c r="F54" s="15">
        <f>INDEX($A$6:$U$15,MATCH($S$45,$A$6:$A$15,0),12)</f>
        <v>0.01335448493251129</v>
      </c>
      <c r="G54" s="95">
        <f>$L$2</f>
        <v>11.21</v>
      </c>
      <c r="H54" s="95"/>
      <c r="I54" s="95">
        <f>$L$3</f>
        <v>89.7</v>
      </c>
      <c r="J54" s="95"/>
      <c r="K54" s="98">
        <f>INDEX($A$18:$S$27,MATCH($S$45,$A$18:$A$27,0),12)</f>
        <v>36.72483356440605</v>
      </c>
      <c r="L54" s="41"/>
      <c r="M54" s="41"/>
      <c r="N54" s="41"/>
      <c r="O54" s="41"/>
    </row>
    <row r="55" spans="1:15" ht="15">
      <c r="A55" s="13" t="str">
        <f>M17</f>
        <v>ETUDES DIRIGEES 
forfait 2 jours</v>
      </c>
      <c r="B55" s="13"/>
      <c r="C55" s="104"/>
      <c r="D55" s="107" t="str">
        <f t="shared" si="25"/>
        <v>ETUDES DIRIGEES 
forfait 2 jours</v>
      </c>
      <c r="E55" s="108"/>
      <c r="F55" s="15">
        <f>INDEX($A$6:$U$15,MATCH($S$45,$A$6:$A$15,0),13)</f>
        <v>0.003084836104535492</v>
      </c>
      <c r="G55" s="95">
        <f>$M$2</f>
        <v>2.59</v>
      </c>
      <c r="H55" s="95"/>
      <c r="I55" s="95">
        <f>$M$3</f>
        <v>20.72</v>
      </c>
      <c r="J55" s="95"/>
      <c r="K55" s="98">
        <f>INDEX($A$18:$S$27,MATCH($S$45,$A$18:$A$27,0),13)</f>
        <v>8.483299287472603</v>
      </c>
      <c r="L55" s="41"/>
      <c r="M55" s="41"/>
      <c r="N55" s="41"/>
      <c r="O55" s="41"/>
    </row>
    <row r="56" spans="1:15" ht="15">
      <c r="A56" s="13" t="str">
        <f>N1</f>
        <v>ETUDES DIRIGEES 
forfait 4 jours</v>
      </c>
      <c r="B56" s="13"/>
      <c r="C56" s="104"/>
      <c r="D56" s="107" t="str">
        <f t="shared" si="25"/>
        <v>ETUDES DIRIGEES 
forfait 4 jours</v>
      </c>
      <c r="E56" s="108"/>
      <c r="F56" s="15">
        <f>INDEX($A$6:$U$15,MATCH($S$45,$A$6:$A$15,0),14)</f>
        <v>0.006169672209070984</v>
      </c>
      <c r="G56" s="95">
        <f>$N$2</f>
        <v>5.18</v>
      </c>
      <c r="H56" s="95"/>
      <c r="I56" s="95">
        <f>$N$3</f>
        <v>41.44</v>
      </c>
      <c r="J56" s="95"/>
      <c r="K56" s="98">
        <f>INDEX($A$18:$S$27,MATCH($S$45,$A$18:$A$27,0),14)</f>
        <v>16.966598574945206</v>
      </c>
      <c r="L56" s="41"/>
      <c r="M56" s="41"/>
      <c r="N56" s="41"/>
      <c r="O56" s="41"/>
    </row>
    <row r="57" spans="1:15" ht="15">
      <c r="A57" s="13"/>
      <c r="B57" s="13"/>
      <c r="C57" s="92"/>
      <c r="D57" s="107" t="str">
        <f>+O1</f>
        <v>ECOLE DE NATATION tarif trimestriel</v>
      </c>
      <c r="E57" s="108"/>
      <c r="F57" s="15">
        <f>INDEX($A$6:$U$15,MATCH($S$45,$A$6:$A$15,0),15)</f>
        <v>0.015483</v>
      </c>
      <c r="G57" s="95">
        <f>$O$2</f>
        <v>13</v>
      </c>
      <c r="H57" s="95"/>
      <c r="I57" s="95">
        <f>$O$3</f>
        <v>104</v>
      </c>
      <c r="J57" s="95"/>
      <c r="K57" s="98">
        <f>INDEX($A$18:$S$27,MATCH($S$45,$A$18:$A$27,0),15)</f>
        <v>42.578250000000004</v>
      </c>
      <c r="L57" s="41"/>
      <c r="M57" s="41"/>
      <c r="N57" s="41"/>
      <c r="O57" s="41"/>
    </row>
    <row r="58" spans="1:15" ht="36" customHeight="1">
      <c r="A58" s="13" t="str">
        <f>P1</f>
        <v>CONSERVATOIRE 
formation musicale</v>
      </c>
      <c r="B58" s="13"/>
      <c r="C58" s="13"/>
      <c r="D58" s="109" t="s">
        <v>53</v>
      </c>
      <c r="E58" s="110"/>
      <c r="F58" s="91">
        <f>INDEX($A$6:$U$15,MATCH($S$45,$A$6:$A$15,0),16)</f>
        <v>0.036661969587465676</v>
      </c>
      <c r="G58" s="99">
        <f>$P$2</f>
        <v>30.783</v>
      </c>
      <c r="H58" s="99"/>
      <c r="I58" s="100">
        <f>$P$3</f>
        <v>246.264</v>
      </c>
      <c r="J58" s="100"/>
      <c r="K58" s="101">
        <f>INDEX($A$18:$S$27,MATCH($S$45,$A$18:$A$27,0),16)</f>
        <v>100.8204163655306</v>
      </c>
      <c r="L58" s="45"/>
      <c r="M58" s="41"/>
      <c r="N58" s="41"/>
      <c r="O58" s="41"/>
    </row>
    <row r="59" spans="1:15" ht="30.75" customHeight="1">
      <c r="A59" s="13" t="str">
        <f>Q1</f>
        <v>CONSERVATOIRE 
formation instrumentale</v>
      </c>
      <c r="B59" s="13"/>
      <c r="C59" s="13"/>
      <c r="D59" s="109" t="s">
        <v>54</v>
      </c>
      <c r="E59" s="110"/>
      <c r="F59" s="91">
        <f>INDEX($A$6:$U$15,MATCH($S$45,$A$6:$A$15,0),17)</f>
        <v>0.05499295438119851</v>
      </c>
      <c r="G59" s="99">
        <f>$Q$2</f>
        <v>46.1745</v>
      </c>
      <c r="H59" s="99"/>
      <c r="I59" s="100">
        <f>$Q$3</f>
        <v>369.396</v>
      </c>
      <c r="J59" s="100"/>
      <c r="K59" s="101">
        <f>INDEX($A$18:$S$27,MATCH($S$45,$A$18:$A$27,0),17)</f>
        <v>151.2306245482959</v>
      </c>
      <c r="L59" s="45"/>
      <c r="M59" s="41"/>
      <c r="N59" s="41"/>
      <c r="O59" s="41"/>
    </row>
    <row r="60" spans="1:15" ht="15" customHeight="1">
      <c r="A60" s="13" t="str">
        <f>R1</f>
        <v>CONSERVATOIRE 
pratiques collectivies</v>
      </c>
      <c r="B60" s="13"/>
      <c r="C60" s="13"/>
      <c r="D60" s="110" t="s">
        <v>42</v>
      </c>
      <c r="E60" s="110"/>
      <c r="F60" s="91">
        <f>INDEX($A$6:$U$15,MATCH($S$45,$A$6:$A$15,0),18)</f>
        <v>0.02444131305831045</v>
      </c>
      <c r="G60" s="99">
        <f>$R$2</f>
        <v>20.522</v>
      </c>
      <c r="H60" s="99"/>
      <c r="I60" s="100">
        <f>$R$3</f>
        <v>164.176</v>
      </c>
      <c r="J60" s="100"/>
      <c r="K60" s="101">
        <f>INDEX($A$18:$S$27,MATCH($S$45,$A$18:$A$27,0),18)</f>
        <v>67.21361091035374</v>
      </c>
      <c r="L60" s="45"/>
      <c r="M60" s="41"/>
      <c r="N60" s="41"/>
      <c r="O60" s="41"/>
    </row>
    <row r="61" spans="1:15" ht="15">
      <c r="A61" s="13" t="str">
        <f>S1</f>
        <v>CONSERVATOIRE 
location
</v>
      </c>
      <c r="B61" s="13"/>
      <c r="C61" s="13"/>
      <c r="D61" s="110" t="s">
        <v>55</v>
      </c>
      <c r="E61" s="110"/>
      <c r="F61" s="91">
        <f>INDEX($A$6:$U$15,MATCH($S$45,$A$6:$A$15,0),19)</f>
        <v>0.046438494810789856</v>
      </c>
      <c r="G61" s="99">
        <f>$S$2</f>
        <v>38.9918</v>
      </c>
      <c r="H61" s="99"/>
      <c r="I61" s="99">
        <f>$S$3</f>
        <v>311.9344</v>
      </c>
      <c r="J61" s="99"/>
      <c r="K61" s="101">
        <f>INDEX($A$18:$S$27,MATCH($S$45,$A$18:$A$27,0),19)</f>
        <v>127.7058607296721</v>
      </c>
      <c r="L61" s="45"/>
      <c r="M61" s="41"/>
      <c r="N61" s="41"/>
      <c r="O61" s="41"/>
    </row>
    <row r="62" spans="2:15" ht="15">
      <c r="B62" s="13"/>
      <c r="C62" s="13"/>
      <c r="D62" s="112" t="s">
        <v>49</v>
      </c>
      <c r="E62" s="112"/>
      <c r="F62" s="90">
        <f>INDEX($A$6:$U$15,MATCH($S$45,$A$6:$A$15,0),20)</f>
        <v>0.03275291203163336</v>
      </c>
      <c r="G62" s="102">
        <f>$T$2</f>
        <v>27.5</v>
      </c>
      <c r="H62" s="102"/>
      <c r="I62" s="102">
        <f>$T$3</f>
        <v>220</v>
      </c>
      <c r="J62" s="102"/>
      <c r="K62" s="103">
        <f>INDEX($A$18:$U$27,MATCH($S$45,$A$18:$A$27,0),20)</f>
        <v>90.07050808699174</v>
      </c>
      <c r="L62" s="45"/>
      <c r="M62" s="41"/>
      <c r="N62" s="41"/>
      <c r="O62" s="41"/>
    </row>
    <row r="63" spans="2:15" ht="15">
      <c r="B63" s="13"/>
      <c r="C63" s="13"/>
      <c r="D63" s="111" t="s">
        <v>50</v>
      </c>
      <c r="E63" s="112"/>
      <c r="F63" s="90">
        <f>INDEX($A$6:$U$15,MATCH($S$45,$A$6:$A$15,0),21)</f>
        <v>0.038707986946475786</v>
      </c>
      <c r="G63" s="102">
        <f>$U$2</f>
        <v>32.5</v>
      </c>
      <c r="H63" s="102"/>
      <c r="I63" s="102">
        <f>$U$3</f>
        <v>260</v>
      </c>
      <c r="J63" s="102"/>
      <c r="K63" s="103">
        <f>INDEX($A$18:$U$27,MATCH($S$45,$A$18:$A$27,0),21)</f>
        <v>106.44696410280841</v>
      </c>
      <c r="L63" s="41"/>
      <c r="M63" s="41"/>
      <c r="N63" s="41"/>
      <c r="O63" s="41"/>
    </row>
    <row r="64" spans="1:15" ht="13.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3.5">
      <c r="A65" s="41"/>
      <c r="B65" s="41"/>
      <c r="C65" s="41"/>
      <c r="D65" s="23" t="s">
        <v>43</v>
      </c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1:15" ht="0" customHeight="1" hidden="1">
      <c r="A66" s="41"/>
      <c r="B66" s="41"/>
      <c r="C66" s="41"/>
      <c r="D66" s="23" t="s">
        <v>46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15" ht="13.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3.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3.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3.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13.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ht="13.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3.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</sheetData>
  <sheetProtection password="CCA6" sheet="1" selectLockedCells="1"/>
  <mergeCells count="26">
    <mergeCell ref="D63:E63"/>
    <mergeCell ref="A5:E5"/>
    <mergeCell ref="D47:E47"/>
    <mergeCell ref="D62:E62"/>
    <mergeCell ref="D61:E61"/>
    <mergeCell ref="D30:E30"/>
    <mergeCell ref="D55:E55"/>
    <mergeCell ref="D56:E56"/>
    <mergeCell ref="D58:E58"/>
    <mergeCell ref="D60:E60"/>
    <mergeCell ref="D59:E59"/>
    <mergeCell ref="D44:E44"/>
    <mergeCell ref="D45:E45"/>
    <mergeCell ref="D46:E46"/>
    <mergeCell ref="D49:E49"/>
    <mergeCell ref="D51:E51"/>
    <mergeCell ref="D57:E57"/>
    <mergeCell ref="C44:C56"/>
    <mergeCell ref="D31:E31"/>
    <mergeCell ref="D32:E32"/>
    <mergeCell ref="D33:E33"/>
    <mergeCell ref="D53:E53"/>
    <mergeCell ref="D54:E54"/>
    <mergeCell ref="D50:E50"/>
    <mergeCell ref="D52:E52"/>
    <mergeCell ref="D48:E48"/>
  </mergeCells>
  <conditionalFormatting sqref="B28:U28 P18:U27 B18:N27">
    <cfRule type="cellIs" priority="4" dxfId="2" operator="equal">
      <formula>$I$34</formula>
    </cfRule>
  </conditionalFormatting>
  <conditionalFormatting sqref="O18:O27">
    <cfRule type="cellIs" priority="1" dxfId="2" operator="equal">
      <formula>$I$34</formula>
    </cfRule>
  </conditionalFormatting>
  <dataValidations count="5">
    <dataValidation type="list" allowBlank="1" showInputMessage="1" showErrorMessage="1" sqref="F32">
      <formula1>$A$18:$A$27</formula1>
    </dataValidation>
    <dataValidation type="list" allowBlank="1" showInputMessage="1" showErrorMessage="1" sqref="F34:F42">
      <formula1>$A$34:$A$61</formula1>
    </dataValidation>
    <dataValidation type="list" allowBlank="1" showInputMessage="1" showErrorMessage="1" sqref="K33">
      <formula1>$L$33:$L$43</formula1>
    </dataValidation>
    <dataValidation type="list" allowBlank="1" showInputMessage="1" showErrorMessage="1" sqref="M46:M50">
      <formula1>$M$45:$M$49</formula1>
    </dataValidation>
    <dataValidation type="list" allowBlank="1" showInputMessage="1" showErrorMessage="1" sqref="F33">
      <formula1>$M$46:$M$49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 Bellec</dc:creator>
  <cp:keywords/>
  <dc:description/>
  <cp:lastModifiedBy>Tiphanie Le Vezu</cp:lastModifiedBy>
  <cp:lastPrinted>2019-06-13T08:00:27Z</cp:lastPrinted>
  <dcterms:created xsi:type="dcterms:W3CDTF">2018-06-27T13:35:07Z</dcterms:created>
  <dcterms:modified xsi:type="dcterms:W3CDTF">2019-07-08T17:46:52Z</dcterms:modified>
  <cp:category/>
  <cp:version/>
  <cp:contentType/>
  <cp:contentStatus/>
</cp:coreProperties>
</file>